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7.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tes" sheetId="1" r:id="rId5"/>
    <sheet state="visible" name="Data Corrections" sheetId="2" r:id="rId6"/>
    <sheet state="visible" name="SD to HD" sheetId="3" r:id="rId7"/>
    <sheet state="visible" name="4 pillars" sheetId="4" r:id="rId8"/>
    <sheet state="visible" name="5 pillars" sheetId="5" r:id="rId9"/>
    <sheet state="visible" name="6 pillars" sheetId="6" r:id="rId10"/>
    <sheet state="visible" name="7 pillars" sheetId="7" r:id="rId11"/>
    <sheet state="visible" name="8 pillars" sheetId="8" r:id="rId12"/>
    <sheet state="visible" name="Cyclic Calcs" sheetId="9" r:id="rId13"/>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11">
      <text>
        <t xml:space="preserve">instrument calibration correction applied</t>
      </text>
    </comment>
    <comment authorId="0" ref="H11">
      <text>
        <t xml:space="preserve">instrument calibration correction applied</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4">
      <text>
        <t xml:space="preserve">Earth Radius in m
</t>
      </text>
    </comment>
    <comment authorId="0" ref="E14">
      <text>
        <t xml:space="preserve">Datum height, usually AHD of pillar 1</t>
      </text>
    </comment>
    <comment authorId="0" ref="C16">
      <text>
        <t xml:space="preserve">D is slope distance with prior corrections for first velocity (atmos 'refraction')</t>
      </text>
    </comment>
    <comment authorId="0" ref="D16">
      <text>
        <t xml:space="preserve">AHD of "from" pillar</t>
      </text>
    </comment>
    <comment authorId="0" ref="E16">
      <text>
        <t xml:space="preserve">Height of instrument axis above pillar, or above ground mark if no pillar.</t>
      </text>
    </comment>
    <comment authorId="0" ref="F16">
      <text>
        <t xml:space="preserve">AHD of "to" pillar</t>
      </text>
    </comment>
    <comment authorId="0" ref="G16">
      <text>
        <t xml:space="preserve">Height of target prism axis above pillar, or above ground mark if no pillar.</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C7">
      <text>
        <t xml:space="preserve">Leave at zero
</t>
      </text>
    </comment>
    <comment authorId="0" ref="C8">
      <text>
        <t xml:space="preserve">Known Distance from pillar 1 to pillar 2</t>
      </text>
    </comment>
    <comment authorId="0" ref="C9">
      <text>
        <t xml:space="preserve">Known Distance from pillar 1 to pillar 3</t>
      </text>
    </comment>
    <comment authorId="0" ref="C10">
      <text>
        <t xml:space="preserve">Known Distance from pillar 1 to pillar 4</t>
      </text>
    </comment>
    <comment authorId="0" ref="C12">
      <text>
        <t xml:space="preserve">Starting values can be zeros. To iterate the solution type in adjusted value from below. Usually convergence is very fast in these EDM baseline calculations.  One or two iterations is usually enough.</t>
      </text>
    </comment>
    <comment authorId="0" ref="C13">
      <text>
        <t xml:space="preserve">Starting value, type in adjusted value to iterate the solution</t>
      </text>
    </comment>
    <comment authorId="0" ref="E16">
      <text>
        <t xml:space="preserve">Estimated standard deviation of distance measurement in mm. You can have different s for different lines, e.g. longer lines may have larger s.  See e.g. Monograph 13 by B Harvey for advice on selecting s values</t>
      </text>
    </comment>
    <comment authorId="0" ref="M16">
      <text>
        <t xml:space="preserve">Check this column for outliers</t>
      </text>
    </comment>
    <comment authorId="0" ref="M30">
      <text>
        <t xml:space="preserve">Statistically test this value, see e.g. Monograph 13 by B Harvey</t>
      </text>
    </comment>
    <comment authorId="0" ref="E35">
      <text>
        <t xml:space="preserve">Standard deviation of adjusted parameters</t>
      </text>
    </comment>
    <comment authorId="0" ref="C43">
      <text>
        <t xml:space="preserve">Leave at zero
</t>
      </text>
    </comment>
    <comment authorId="0" ref="C44">
      <text>
        <t xml:space="preserve">Known Distance from pillar 1 to pillar 2</t>
      </text>
    </comment>
    <comment authorId="0" ref="C45">
      <text>
        <t xml:space="preserve">Known Distance from pillar 1 to pillar 3</t>
      </text>
    </comment>
    <comment authorId="0" ref="C46">
      <text>
        <t xml:space="preserve">Known Distance from pillar 1 to pillar 4</t>
      </text>
    </comment>
    <comment authorId="0" ref="C48">
      <text>
        <t xml:space="preserve">Starting value, to iterate the solution type in adjusted value from below</t>
      </text>
    </comment>
    <comment authorId="0" ref="C49">
      <text>
        <t xml:space="preserve">Starting value, type in adjusted value to iterate the solution</t>
      </text>
    </comment>
    <comment authorId="0" ref="E52">
      <text>
        <t xml:space="preserve">Estimated standard deviation of distance measurement in mm</t>
      </text>
    </comment>
    <comment authorId="0" ref="M60">
      <text>
        <t xml:space="preserve">Statistically test this value, see e.g. Monograph 13 by B Harvey</t>
      </text>
    </comment>
    <comment authorId="0" ref="E65">
      <text>
        <t xml:space="preserve">Standard deviation of adjusted parameters</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C7">
      <text>
        <t xml:space="preserve">Leave at zero
</t>
      </text>
    </comment>
    <comment authorId="0" ref="AY7">
      <text>
        <t xml:space="preserve">Leave at zero
</t>
      </text>
    </comment>
    <comment authorId="0" ref="C8">
      <text>
        <t xml:space="preserve">Known Distance from pillar 1 to pillar 2</t>
      </text>
    </comment>
    <comment authorId="0" ref="AY8">
      <text>
        <t xml:space="preserve">Known Distance from pillar 1 to pillar 2</t>
      </text>
    </comment>
    <comment authorId="0" ref="C9">
      <text>
        <t xml:space="preserve">Known Distance from pillar 1 to pillar 3</t>
      </text>
    </comment>
    <comment authorId="0" ref="AY9">
      <text>
        <t xml:space="preserve">Known Distance from pillar 1 to pillar 3</t>
      </text>
    </comment>
    <comment authorId="0" ref="C10">
      <text>
        <t xml:space="preserve">Known Distance from pillar 1 to pillar 4</t>
      </text>
    </comment>
    <comment authorId="0" ref="AY10">
      <text>
        <t xml:space="preserve">Known Distance from pillar 1 to pillar 4</t>
      </text>
    </comment>
    <comment authorId="0" ref="C11">
      <text>
        <t xml:space="preserve">Known Distance from pillar 1 to pillar 5</t>
      </text>
    </comment>
    <comment authorId="0" ref="AY11">
      <text>
        <t xml:space="preserve">Known Distance from pillar 1 to pillar 5</t>
      </text>
    </comment>
    <comment authorId="0" ref="C13">
      <text>
        <t xml:space="preserve">Starting value, to iterate the solution type in adjusted value from below</t>
      </text>
    </comment>
    <comment authorId="0" ref="AY13">
      <text>
        <t xml:space="preserve">Starting value, to iterate the solution type in adjusted value from below</t>
      </text>
    </comment>
    <comment authorId="0" ref="C14">
      <text>
        <t xml:space="preserve">Starting value, type in adjusted value to iterate the solution</t>
      </text>
    </comment>
    <comment authorId="0" ref="AY14">
      <text>
        <t xml:space="preserve">Starting value, type in adjusted value to iterate the solution</t>
      </text>
    </comment>
    <comment authorId="0" ref="E17">
      <text>
        <t xml:space="preserve">Estimated standard deviation of distance measurement in mm</t>
      </text>
    </comment>
    <comment authorId="0" ref="BA17">
      <text>
        <t xml:space="preserve">Estimated standard deviation of distance measurement in mm</t>
      </text>
    </comment>
    <comment authorId="0" ref="E44">
      <text>
        <t xml:space="preserve">Standard deviation of adjusted parameters</t>
      </text>
    </comment>
    <comment authorId="0" ref="BA44">
      <text>
        <t xml:space="preserve">Standard deviation of adjusted parameters</t>
      </text>
    </comment>
    <comment authorId="0" ref="C52">
      <text>
        <t xml:space="preserve">Leave at zero
</t>
      </text>
    </comment>
    <comment authorId="0" ref="C53">
      <text>
        <t xml:space="preserve">Known Distance from pillar 1 to pillar 2</t>
      </text>
    </comment>
    <comment authorId="0" ref="C54">
      <text>
        <t xml:space="preserve">Known Distance from pillar 1 to pillar 3</t>
      </text>
    </comment>
    <comment authorId="0" ref="C55">
      <text>
        <t xml:space="preserve">Known Distance from pillar 1 to pillar 4</t>
      </text>
    </comment>
    <comment authorId="0" ref="C56">
      <text>
        <t xml:space="preserve">Known Distance from pillar 1 to pillar 5</t>
      </text>
    </comment>
    <comment authorId="0" ref="C58">
      <text>
        <t xml:space="preserve">Starting value, to iterate the solution type in adjusted value from below</t>
      </text>
    </comment>
    <comment authorId="0" ref="C59">
      <text>
        <t xml:space="preserve">Starting value, type in adjusted value to iterate the solution</t>
      </text>
    </comment>
    <comment authorId="0" ref="E62">
      <text>
        <t xml:space="preserve">Estimated standard deviation of distance measurement in mm</t>
      </text>
    </comment>
    <comment authorId="0" ref="E79">
      <text>
        <t xml:space="preserve">Standard deviation of adjusted parameters</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4">
      <text>
        <t xml:space="preserve">Starting value, to iterate the solution type in adjusted value from below</t>
      </text>
    </comment>
    <comment authorId="0" ref="C15">
      <text>
        <t xml:space="preserve">Starting value, type in adjusted value to iterate the solution</t>
      </text>
    </comment>
    <comment authorId="0" ref="E18">
      <text>
        <t xml:space="preserve">Estimated standard deviation of distance measurement in mm</t>
      </text>
    </comment>
    <comment authorId="0" ref="E40">
      <text>
        <t xml:space="preserve">Standard deviation of adjusted parameters</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5">
      <text>
        <t xml:space="preserve">Starting value, to iterate the solution type in adjusted value from below</t>
      </text>
    </comment>
    <comment authorId="0" ref="C16">
      <text>
        <t xml:space="preserve">Starting value, type in adjusted value to iterate the solution</t>
      </text>
    </comment>
    <comment authorId="0" ref="E19">
      <text>
        <t xml:space="preserve">Estimated standard deviation of distance measurement in mm</t>
      </text>
    </comment>
    <comment authorId="0" ref="E47">
      <text>
        <t xml:space="preserve">Standard deviation of adjusted parameters</t>
      </text>
    </comment>
  </commentLi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6">
      <text>
        <t xml:space="preserve">Starting value, to iterate the solution type in adjusted value from below</t>
      </text>
    </comment>
    <comment authorId="0" ref="C17">
      <text>
        <t xml:space="preserve">Starting value, type in adjusted value to iterate the solution</t>
      </text>
    </comment>
    <comment authorId="0" ref="E20">
      <text>
        <t xml:space="preserve">Estimated standard deviation of distance measurement in mm</t>
      </text>
    </comment>
    <comment authorId="0" ref="E55">
      <text>
        <t xml:space="preserve">Standard deviation of adjusted parameters</t>
      </text>
    </comment>
  </commentList>
</comments>
</file>

<file path=xl/sharedStrings.xml><?xml version="1.0" encoding="utf-8"?>
<sst xmlns="http://schemas.openxmlformats.org/spreadsheetml/2006/main" count="509" uniqueCount="144">
  <si>
    <t>Data corrections: First velocity, and cyclic errors</t>
  </si>
  <si>
    <t>Inst type</t>
  </si>
  <si>
    <t>TOPCON GT603</t>
  </si>
  <si>
    <t>C-Term</t>
  </si>
  <si>
    <t>D-Term</t>
  </si>
  <si>
    <t>Unit length m</t>
  </si>
  <si>
    <t xml:space="preserve">Cyclic Errors: </t>
  </si>
  <si>
    <t>A1 mm</t>
  </si>
  <si>
    <t>B1 mm</t>
  </si>
  <si>
    <t>A2 mm</t>
  </si>
  <si>
    <t>B2 mm</t>
  </si>
  <si>
    <t>A3 mm</t>
  </si>
  <si>
    <t>B3 mm</t>
  </si>
  <si>
    <t>A4 mm</t>
  </si>
  <si>
    <t>B4 mm</t>
  </si>
  <si>
    <t>If cyclic error  values are unknown, or are statistically insignificant, then leave them at zero</t>
  </si>
  <si>
    <t>From</t>
  </si>
  <si>
    <t>To</t>
  </si>
  <si>
    <t>Mean slope dist m</t>
  </si>
  <si>
    <t>E rads</t>
  </si>
  <si>
    <t>Cyclic Error in mm</t>
  </si>
  <si>
    <t>Dist corrected for cyclic error</t>
  </si>
  <si>
    <t>Mean Temp C</t>
  </si>
  <si>
    <t>Mean Pressure mb</t>
  </si>
  <si>
    <t>Rel Humidity %</t>
  </si>
  <si>
    <t>E'w</t>
  </si>
  <si>
    <t xml:space="preserve">e' </t>
  </si>
  <si>
    <t>K'</t>
  </si>
  <si>
    <t>Corrected slope dist</t>
  </si>
  <si>
    <t>At UNSW:</t>
  </si>
  <si>
    <t>Slope distances</t>
  </si>
  <si>
    <t>Correction of Slope Distances (D) for height variations on baseline</t>
  </si>
  <si>
    <t>For use in a LS 2D ADJUSTMENT for AC and SF</t>
  </si>
  <si>
    <t>Equations:</t>
  </si>
  <si>
    <t>HM = (HI + HA + HT + HB) /2         DH = HI + HA - HT - HB</t>
  </si>
  <si>
    <t>K2 = - (DH * DH) / (2 * D) - (DH**4) / (8 * D**3) - (DH**6) / (16 * D**5)</t>
  </si>
  <si>
    <t>K3 = - HM / R * (K2 + D)</t>
  </si>
  <si>
    <t>D is slope distance with prior corrections for first velocity (atmos 'refraction')</t>
  </si>
  <si>
    <t>Reduced Horizontal Measurement  X = (D + K2 + K3) * (1 + Hd / R)</t>
  </si>
  <si>
    <t>Enter X into the following spreadsheets as the reduced horizontal distance</t>
  </si>
  <si>
    <t>R</t>
  </si>
  <si>
    <t>H datum</t>
  </si>
  <si>
    <t xml:space="preserve">To </t>
  </si>
  <si>
    <t>D</t>
  </si>
  <si>
    <t>Ha</t>
  </si>
  <si>
    <t>Hi</t>
  </si>
  <si>
    <t>Hb</t>
  </si>
  <si>
    <t>Ht</t>
  </si>
  <si>
    <t>Hm</t>
  </si>
  <si>
    <t>DH</t>
  </si>
  <si>
    <t>K2</t>
  </si>
  <si>
    <t>K3</t>
  </si>
  <si>
    <t>X</t>
  </si>
  <si>
    <t>A) Each line measured forward and back:</t>
  </si>
  <si>
    <t>D1</t>
  </si>
  <si>
    <t>Fixed</t>
  </si>
  <si>
    <t>D2</t>
  </si>
  <si>
    <t>D3</t>
  </si>
  <si>
    <t>D4</t>
  </si>
  <si>
    <t>Starting values of Parameters:</t>
  </si>
  <si>
    <t>Additive Constant</t>
  </si>
  <si>
    <t>mm</t>
  </si>
  <si>
    <t>m</t>
  </si>
  <si>
    <t>Scale Factor</t>
  </si>
  <si>
    <t>ppm</t>
  </si>
  <si>
    <t>factor</t>
  </si>
  <si>
    <t>Std dev of dists</t>
  </si>
  <si>
    <t xml:space="preserve">mm + </t>
  </si>
  <si>
    <t>Measurements:</t>
  </si>
  <si>
    <t>Residuals</t>
  </si>
  <si>
    <t>Obs dist (m)</t>
  </si>
  <si>
    <t>Known dist</t>
  </si>
  <si>
    <t>s (mm)</t>
  </si>
  <si>
    <t>Partials A/s</t>
  </si>
  <si>
    <t>b/s</t>
  </si>
  <si>
    <t>v mm</t>
  </si>
  <si>
    <t>v/s</t>
  </si>
  <si>
    <t>n:</t>
  </si>
  <si>
    <t>degrees freedom:</t>
  </si>
  <si>
    <t>Variance Factor</t>
  </si>
  <si>
    <r>
      <rPr>
        <rFont val="Arial"/>
        <color theme="1"/>
        <sz val="10.0"/>
      </rPr>
      <t>N</t>
    </r>
    <r>
      <rPr>
        <rFont val="Arial"/>
        <color theme="1"/>
        <sz val="10.0"/>
        <vertAlign val="superscript"/>
      </rPr>
      <t>-1</t>
    </r>
  </si>
  <si>
    <t>dx</t>
  </si>
  <si>
    <t>Ave r</t>
  </si>
  <si>
    <t>Adj parameters</t>
  </si>
  <si>
    <t>std dev</t>
  </si>
  <si>
    <t>95% CI +/-</t>
  </si>
  <si>
    <t>AC</t>
  </si>
  <si>
    <t>Correlation between AC and SF</t>
  </si>
  <si>
    <t>SF</t>
  </si>
  <si>
    <t>Application of parameters:</t>
  </si>
  <si>
    <t>Measured</t>
  </si>
  <si>
    <t>Corrected</t>
  </si>
  <si>
    <t>B) Each line measured one way only, or mean distances entered:</t>
  </si>
  <si>
    <t>N-1</t>
  </si>
  <si>
    <t>D5</t>
  </si>
  <si>
    <t>Parameters:</t>
  </si>
  <si>
    <t>Add Const</t>
  </si>
  <si>
    <t>Partials</t>
  </si>
  <si>
    <t>SF mm/ppm</t>
  </si>
  <si>
    <t>b  mm</t>
  </si>
  <si>
    <t>v (Residuals)</t>
  </si>
  <si>
    <t>P</t>
  </si>
  <si>
    <t>Each line measured one way only, or mean distances entered:</t>
  </si>
  <si>
    <t>D6</t>
  </si>
  <si>
    <t>D7</t>
  </si>
  <si>
    <t>D8</t>
  </si>
  <si>
    <t>Example Determination of Cyclic Error</t>
  </si>
  <si>
    <t>by Bruce Harvey UNSW</t>
  </si>
  <si>
    <t>Instrument: HP3820,  a very old instrument!</t>
  </si>
  <si>
    <t>U  Unit length of EDM Instrument (m)</t>
  </si>
  <si>
    <t>D  Reflector spacing (m)</t>
  </si>
  <si>
    <t>(U/D)  Number of measurements</t>
  </si>
  <si>
    <t>Order of cyclic error</t>
  </si>
  <si>
    <t>E(i) = (ŝ + ((i - 1) * D)) * (2π / U)</t>
  </si>
  <si>
    <t>Position</t>
  </si>
  <si>
    <t>Tape dist</t>
  </si>
  <si>
    <t>EDM Dist</t>
  </si>
  <si>
    <t>S m</t>
  </si>
  <si>
    <t>L mm</t>
  </si>
  <si>
    <t xml:space="preserve">E(i)  </t>
  </si>
  <si>
    <t>LiCosEi</t>
  </si>
  <si>
    <t>LiSinEi</t>
  </si>
  <si>
    <t>LiCos2Ei</t>
  </si>
  <si>
    <t>LiSin2Ei</t>
  </si>
  <si>
    <t>Licos3Ei</t>
  </si>
  <si>
    <t>LiSin3Ei</t>
  </si>
  <si>
    <t>Licos4Ei</t>
  </si>
  <si>
    <t>LiSin4Ei</t>
  </si>
  <si>
    <t>CE mm</t>
  </si>
  <si>
    <t>Mean</t>
  </si>
  <si>
    <t>A1</t>
  </si>
  <si>
    <t>B1</t>
  </si>
  <si>
    <t>A2</t>
  </si>
  <si>
    <t>B2</t>
  </si>
  <si>
    <t>A3</t>
  </si>
  <si>
    <t>B3</t>
  </si>
  <si>
    <t>A4</t>
  </si>
  <si>
    <t>B4</t>
  </si>
  <si>
    <t>sumsq</t>
  </si>
  <si>
    <t>Apply Correction to measured distance:</t>
  </si>
  <si>
    <t xml:space="preserve">E = </t>
  </si>
  <si>
    <t>rads</t>
  </si>
  <si>
    <t>CE</t>
  </si>
  <si>
    <t>corrected: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</si>
</sst>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00"/>
    <numFmt numFmtId="166" formatCode="0.0000"/>
  </numFmts>
  <fonts count="6">
    <font>
      <sz val="10.0"/>
      <color rgb="FF000000"/>
      <name val="Arial"/>
      <scheme val="minor"/>
    </font>
    <font>
      <b/>
      <sz val="10.0"/>
      <color theme="1"/>
      <name val="Arial"/>
    </font>
    <font>
      <sz val="10.0"/>
      <color theme="1"/>
      <name val="Arial"/>
    </font>
    <font>
      <sz val="10.0"/>
      <color rgb="FF0000FF"/>
      <name val="Arial"/>
    </font>
    <font>
      <color theme="1"/>
      <name val="Arial"/>
      <scheme val="minor"/>
    </font>
    <font>
      <sz val="12.0"/>
      <color theme="1"/>
      <name val="Times New Roman"/>
    </font>
  </fonts>
  <fills count="3">
    <fill>
      <patternFill patternType="none"/>
    </fill>
    <fill>
      <patternFill patternType="lightGray"/>
    </fill>
    <fill>
      <patternFill patternType="solid">
        <fgColor rgb="FFFFFF00"/>
        <bgColor rgb="FFFFFF00"/>
      </patternFill>
    </fill>
  </fills>
  <borders count="13">
    <border/>
    <border>
      <left/>
      <right/>
      <top/>
      <bottom/>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top style="thin">
        <color rgb="FF000000"/>
      </top>
    </border>
    <border>
      <left style="thin">
        <color rgb="FF000000"/>
      </left>
    </border>
    <border>
      <right style="thin">
        <color rgb="FF000000"/>
      </right>
    </border>
    <border>
      <left style="thin">
        <color rgb="FF000000"/>
      </left>
      <right style="thin">
        <color rgb="FF000000"/>
      </right>
    </border>
    <border>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shrinkToFit="0" vertical="center" wrapText="0"/>
    </xf>
    <xf borderId="0" fillId="0" fontId="2" numFmtId="0" xfId="0" applyAlignment="1" applyFont="1">
      <alignment horizontal="center" shrinkToFit="0" vertical="center" wrapText="0"/>
    </xf>
    <xf borderId="0" fillId="0" fontId="2" numFmtId="0" xfId="0" applyAlignment="1" applyFont="1">
      <alignment horizontal="center" shrinkToFit="0" vertical="center" wrapText="1"/>
    </xf>
    <xf borderId="0" fillId="0" fontId="3" numFmtId="0" xfId="0" applyAlignment="1" applyFont="1">
      <alignment horizontal="right" shrinkToFit="0" vertical="center" wrapText="0"/>
    </xf>
    <xf borderId="0" fillId="0" fontId="2" numFmtId="0" xfId="0" applyAlignment="1" applyFont="1">
      <alignment horizontal="center" shrinkToFit="0" vertical="bottom" wrapText="1"/>
    </xf>
    <xf borderId="0" fillId="0" fontId="3" numFmtId="0" xfId="0" applyAlignment="1" applyFont="1">
      <alignment shrinkToFit="0" vertical="bottom" wrapText="0"/>
    </xf>
    <xf borderId="0" fillId="0" fontId="2" numFmtId="0" xfId="0" applyAlignment="1" applyFont="1">
      <alignment horizontal="left" shrinkToFit="0" vertical="center" wrapText="0"/>
    </xf>
    <xf borderId="0" fillId="0" fontId="2" numFmtId="0" xfId="0" applyAlignment="1" applyFont="1">
      <alignment horizontal="right" shrinkToFit="0" vertical="center" wrapText="1"/>
    </xf>
    <xf borderId="0" fillId="0" fontId="2" numFmtId="0" xfId="0" applyAlignment="1" applyFont="1">
      <alignment horizontal="right" shrinkToFit="0" vertical="center" wrapText="0"/>
    </xf>
    <xf borderId="0" fillId="0" fontId="2" numFmtId="164" xfId="0" applyAlignment="1" applyFont="1" applyNumberFormat="1">
      <alignment horizontal="center" shrinkToFit="0" vertical="center" wrapText="0"/>
    </xf>
    <xf borderId="0" fillId="0" fontId="2" numFmtId="165" xfId="0" applyAlignment="1" applyFont="1" applyNumberFormat="1">
      <alignment horizontal="right" shrinkToFit="0" vertical="center" wrapText="0"/>
    </xf>
    <xf borderId="0" fillId="0" fontId="3" numFmtId="0" xfId="0" applyAlignment="1" applyFont="1">
      <alignment horizontal="center" shrinkToFit="0" vertical="center" wrapText="0"/>
    </xf>
    <xf borderId="0" fillId="0" fontId="2" numFmtId="166" xfId="0" applyAlignment="1" applyFont="1" applyNumberFormat="1">
      <alignment horizontal="center" shrinkToFit="0" vertical="center" wrapText="0"/>
    </xf>
    <xf borderId="1" fillId="2" fontId="2" numFmtId="166" xfId="0" applyAlignment="1" applyBorder="1" applyFill="1" applyFont="1" applyNumberFormat="1">
      <alignment horizontal="right" shrinkToFit="0" vertical="center" wrapText="0"/>
    </xf>
    <xf borderId="0" fillId="0" fontId="1" numFmtId="0" xfId="0" applyAlignment="1" applyFont="1">
      <alignment shrinkToFit="0" vertical="bottom" wrapText="0"/>
    </xf>
    <xf borderId="0" fillId="0" fontId="4" numFmtId="0" xfId="0" applyFont="1"/>
    <xf borderId="0" fillId="0" fontId="2" numFmtId="0" xfId="0" applyAlignment="1" applyFont="1">
      <alignment shrinkToFit="0" vertical="bottom" wrapText="0"/>
    </xf>
    <xf borderId="0" fillId="0" fontId="2" numFmtId="1" xfId="0" applyAlignment="1" applyFont="1" applyNumberFormat="1">
      <alignment shrinkToFit="0" vertical="bottom" wrapText="0"/>
    </xf>
    <xf borderId="0" fillId="0" fontId="3" numFmtId="166" xfId="0" applyAlignment="1" applyFont="1" applyNumberFormat="1">
      <alignment shrinkToFit="0" vertical="bottom" wrapText="0"/>
    </xf>
    <xf borderId="0" fillId="0" fontId="2" numFmtId="0" xfId="0" applyAlignment="1" applyFont="1">
      <alignment horizontal="center" shrinkToFit="0" vertical="bottom" wrapText="0"/>
    </xf>
    <xf borderId="0" fillId="0" fontId="3" numFmtId="165" xfId="0" applyAlignment="1" applyFont="1" applyNumberFormat="1">
      <alignment shrinkToFit="0" vertical="bottom" wrapText="0"/>
    </xf>
    <xf borderId="0" fillId="0" fontId="2" numFmtId="166" xfId="0" applyAlignment="1" applyFont="1" applyNumberFormat="1">
      <alignment shrinkToFit="0" vertical="bottom" wrapText="0"/>
    </xf>
    <xf borderId="1" fillId="2" fontId="2" numFmtId="166" xfId="0" applyAlignment="1" applyBorder="1" applyFont="1" applyNumberFormat="1">
      <alignment shrinkToFit="0" vertical="bottom" wrapText="0"/>
    </xf>
    <xf borderId="0" fillId="0" fontId="3" numFmtId="2" xfId="0" applyAlignment="1" applyFont="1" applyNumberFormat="1">
      <alignment horizontal="right" shrinkToFit="0" vertical="bottom" wrapText="0"/>
    </xf>
    <xf borderId="0" fillId="0" fontId="3" numFmtId="2" xfId="0" applyAlignment="1" applyFont="1" applyNumberFormat="1">
      <alignment shrinkToFit="0" vertical="bottom" wrapText="0"/>
    </xf>
    <xf borderId="0" fillId="0" fontId="3" numFmtId="164" xfId="0" applyAlignment="1" applyFont="1" applyNumberFormat="1">
      <alignment shrinkToFit="0" vertical="bottom" wrapText="0"/>
    </xf>
    <xf borderId="0" fillId="0" fontId="2" numFmtId="0" xfId="0" applyAlignment="1" applyFont="1">
      <alignment horizontal="right" shrinkToFit="0" vertical="bottom" wrapText="0"/>
    </xf>
    <xf borderId="0" fillId="0" fontId="3" numFmtId="164" xfId="0" applyAlignment="1" applyFont="1" applyNumberFormat="1">
      <alignment horizontal="center" shrinkToFit="0" vertical="bottom" wrapText="0"/>
    </xf>
    <xf borderId="0" fillId="0" fontId="2" numFmtId="164" xfId="0" applyAlignment="1" applyFont="1" applyNumberFormat="1">
      <alignment shrinkToFit="0" vertical="bottom" wrapText="0"/>
    </xf>
    <xf borderId="0" fillId="0" fontId="2" numFmtId="2" xfId="0" applyAlignment="1" applyFont="1" applyNumberFormat="1">
      <alignment shrinkToFit="0" vertical="bottom" wrapText="0"/>
    </xf>
    <xf borderId="1" fillId="2" fontId="2" numFmtId="164" xfId="0" applyAlignment="1" applyBorder="1" applyFont="1" applyNumberFormat="1">
      <alignment horizontal="right" shrinkToFit="0" vertical="bottom" wrapText="0"/>
    </xf>
    <xf borderId="0" fillId="0" fontId="2" numFmtId="164" xfId="0" applyAlignment="1" applyFont="1" applyNumberFormat="1">
      <alignment horizontal="right" shrinkToFit="0" vertical="bottom" wrapText="0"/>
    </xf>
    <xf borderId="2" fillId="0" fontId="2" numFmtId="2" xfId="0" applyAlignment="1" applyBorder="1" applyFont="1" applyNumberFormat="1">
      <alignment shrinkToFit="0" vertical="bottom" wrapText="0"/>
    </xf>
    <xf borderId="3" fillId="0" fontId="2" numFmtId="2" xfId="0" applyAlignment="1" applyBorder="1" applyFont="1" applyNumberFormat="1">
      <alignment shrinkToFit="0" vertical="bottom" wrapText="0"/>
    </xf>
    <xf borderId="4" fillId="0" fontId="2" numFmtId="2" xfId="0" applyAlignment="1" applyBorder="1" applyFont="1" applyNumberFormat="1">
      <alignment shrinkToFit="0" vertical="bottom" wrapText="0"/>
    </xf>
    <xf borderId="5" fillId="0" fontId="2" numFmtId="2" xfId="0" applyAlignment="1" applyBorder="1" applyFont="1" applyNumberFormat="1">
      <alignment shrinkToFit="0" vertical="bottom" wrapText="0"/>
    </xf>
    <xf borderId="6" fillId="0" fontId="2" numFmtId="2" xfId="0" applyAlignment="1" applyBorder="1" applyFont="1" applyNumberFormat="1">
      <alignment shrinkToFit="0" vertical="bottom" wrapText="0"/>
    </xf>
    <xf borderId="7" fillId="0" fontId="2" numFmtId="2" xfId="0" applyAlignment="1" applyBorder="1" applyFont="1" applyNumberFormat="1">
      <alignment shrinkToFit="0" vertical="bottom" wrapText="0"/>
    </xf>
    <xf borderId="1" fillId="2" fontId="2" numFmtId="164" xfId="0" applyAlignment="1" applyBorder="1" applyFont="1" applyNumberFormat="1">
      <alignment shrinkToFit="0" vertical="bottom" wrapText="0"/>
    </xf>
    <xf borderId="0" fillId="0" fontId="2" numFmtId="165" xfId="0" applyAlignment="1" applyFont="1" applyNumberFormat="1">
      <alignment shrinkToFit="0" vertical="bottom" wrapText="0"/>
    </xf>
    <xf borderId="0" fillId="0" fontId="3" numFmtId="0" xfId="0" applyAlignment="1" applyFont="1">
      <alignment horizontal="center" shrinkToFit="0" vertical="bottom" wrapText="0"/>
    </xf>
    <xf borderId="2" fillId="0" fontId="2" numFmtId="1" xfId="0" applyAlignment="1" applyBorder="1" applyFont="1" applyNumberFormat="1">
      <alignment shrinkToFit="0" vertical="bottom" wrapText="0"/>
    </xf>
    <xf borderId="4" fillId="0" fontId="2" numFmtId="164" xfId="0" applyAlignment="1" applyBorder="1" applyFont="1" applyNumberFormat="1">
      <alignment shrinkToFit="0" vertical="bottom" wrapText="0"/>
    </xf>
    <xf borderId="2" fillId="0" fontId="2" numFmtId="0" xfId="0" applyAlignment="1" applyBorder="1" applyFont="1">
      <alignment shrinkToFit="0" vertical="bottom" wrapText="0"/>
    </xf>
    <xf borderId="8" fillId="0" fontId="2" numFmtId="0" xfId="0" applyAlignment="1" applyBorder="1" applyFont="1">
      <alignment shrinkToFit="0" vertical="bottom" wrapText="0"/>
    </xf>
    <xf borderId="3" fillId="0" fontId="2" numFmtId="0" xfId="0" applyAlignment="1" applyBorder="1" applyFont="1">
      <alignment shrinkToFit="0" vertical="bottom" wrapText="0"/>
    </xf>
    <xf borderId="9" fillId="0" fontId="2" numFmtId="1" xfId="0" applyAlignment="1" applyBorder="1" applyFont="1" applyNumberFormat="1">
      <alignment shrinkToFit="0" vertical="bottom" wrapText="0"/>
    </xf>
    <xf borderId="10" fillId="0" fontId="2" numFmtId="2" xfId="0" applyAlignment="1" applyBorder="1" applyFont="1" applyNumberFormat="1">
      <alignment shrinkToFit="0" vertical="bottom" wrapText="0"/>
    </xf>
    <xf borderId="11" fillId="0" fontId="2" numFmtId="164" xfId="0" applyAlignment="1" applyBorder="1" applyFont="1" applyNumberFormat="1">
      <alignmen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5" fillId="0" fontId="2" numFmtId="1" xfId="0" applyAlignment="1" applyBorder="1" applyFont="1" applyNumberFormat="1">
      <alignment shrinkToFit="0" vertical="bottom" wrapText="0"/>
    </xf>
    <xf borderId="7" fillId="0" fontId="2" numFmtId="164" xfId="0" applyAlignment="1" applyBorder="1" applyFont="1" applyNumberFormat="1">
      <alignment shrinkToFit="0" vertical="bottom" wrapText="0"/>
    </xf>
    <xf borderId="5" fillId="0" fontId="2" numFmtId="0" xfId="0" applyAlignment="1" applyBorder="1" applyFont="1">
      <alignment shrinkToFit="0" vertical="bottom" wrapText="0"/>
    </xf>
    <xf borderId="12" fillId="0" fontId="2" numFmtId="0" xfId="0" applyAlignment="1" applyBorder="1" applyFont="1">
      <alignment shrinkToFit="0" vertical="bottom" wrapText="0"/>
    </xf>
    <xf borderId="6" fillId="0" fontId="2" numFmtId="0" xfId="0" applyAlignment="1" applyBorder="1" applyFont="1">
      <alignment shrinkToFit="0" vertical="bottom" wrapText="0"/>
    </xf>
    <xf borderId="1" fillId="2" fontId="2" numFmtId="2" xfId="0" applyAlignment="1" applyBorder="1" applyFont="1" applyNumberFormat="1">
      <alignment shrinkToFit="0" vertical="bottom" wrapText="0"/>
    </xf>
    <xf borderId="0" fillId="0" fontId="5" numFmtId="0" xfId="0" applyAlignment="1" applyFont="1">
      <alignment shrinkToFit="0" vertical="bottom" wrapText="0"/>
    </xf>
    <xf borderId="1" fillId="2" fontId="2" numFmtId="0" xfId="0" applyAlignment="1" applyBorder="1" applyFont="1">
      <alignment shrinkToFit="0" vertical="bottom" wrapText="0"/>
    </xf>
    <xf borderId="0" fillId="0" fontId="4" numFmtId="165"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scatterChart>
        <c:scatterStyle val="lineMarker"/>
        <c:varyColors val="0"/>
        <c:ser>
          <c:idx val="0"/>
          <c:order val="0"/>
          <c:spPr>
            <a:ln>
              <a:noFill/>
            </a:ln>
          </c:spPr>
          <c:marker>
            <c:symbol val="circle"/>
            <c:size val="7"/>
            <c:spPr>
              <a:solidFill>
                <a:srgbClr val="FFFF00"/>
              </a:solidFill>
              <a:ln cmpd="sng">
                <a:solidFill>
                  <a:srgbClr val="FFFF00"/>
                </a:solidFill>
              </a:ln>
            </c:spPr>
          </c:marker>
          <c:xVal>
            <c:numRef>
              <c:f>'Cyclic Calcs'!$B$9:$B$28</c:f>
            </c:numRef>
          </c:xVal>
          <c:yVal>
            <c:numRef>
              <c:f>'Cyclic Calcs'!$E$9:$E$28</c:f>
              <c:numCache/>
            </c:numRef>
          </c:yVal>
        </c:ser>
        <c:dLbls>
          <c:showLegendKey val="0"/>
          <c:showVal val="0"/>
          <c:showCatName val="0"/>
          <c:showSerName val="0"/>
          <c:showPercent val="0"/>
          <c:showBubbleSize val="0"/>
        </c:dLbls>
        <c:axId val="1807231904"/>
        <c:axId val="1652503802"/>
      </c:scatterChart>
      <c:valAx>
        <c:axId val="1807231904"/>
        <c:scaling>
          <c:orientation val="minMax"/>
          <c:max val="12.0"/>
        </c:scaling>
        <c:delete val="0"/>
        <c:axPos val="b"/>
        <c:title>
          <c:tx>
            <c:rich>
              <a:bodyPr/>
              <a:lstStyle/>
              <a:p>
                <a:pPr lvl="0">
                  <a:defRPr b="1" i="0" sz="1000">
                    <a:solidFill>
                      <a:srgbClr val="000000"/>
                    </a:solidFill>
                    <a:latin typeface="+mn-lt"/>
                  </a:defRPr>
                </a:pPr>
                <a:r>
                  <a:rPr b="1" i="0" sz="1000">
                    <a:solidFill>
                      <a:srgbClr val="000000"/>
                    </a:solidFill>
                    <a:latin typeface="+mn-lt"/>
                  </a:rPr>
                  <a:t>Tape Dist m</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652503802"/>
      </c:valAx>
      <c:valAx>
        <c:axId val="1652503802"/>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mn-lt"/>
                  </a:defRPr>
                </a:pPr>
                <a:r>
                  <a:rPr b="1" i="0" sz="1000">
                    <a:solidFill>
                      <a:srgbClr val="000000"/>
                    </a:solidFill>
                    <a:latin typeface="+mn-lt"/>
                  </a:rPr>
                  <a:t>L mm</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807231904"/>
      </c:valAx>
    </c:plotArea>
  </c:chart>
  <c:spPr>
    <a:solidFill>
      <a:srgbClr val="FFFFFF"/>
    </a:solidFill>
  </c:spPr>
</c:chartSpace>
</file>

<file path=xl/drawings/_rels/drawing9.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4.png"/><Relationship Id="rId3" Type="http://schemas.openxmlformats.org/officeDocument/2006/relationships/image" Target="../media/image1.png"/><Relationship Id="rId4" Type="http://schemas.openxmlformats.org/officeDocument/2006/relationships/image" Target="../media/image6.png"/><Relationship Id="rId5" Type="http://schemas.openxmlformats.org/officeDocument/2006/relationships/image" Target="../media/image3.png"/><Relationship Id="rId6" Type="http://schemas.openxmlformats.org/officeDocument/2006/relationships/image" Target="../media/image2.png"/><Relationship Id="rId7"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1</xdr:row>
      <xdr:rowOff>0</xdr:rowOff>
    </xdr:from>
    <xdr:ext cx="9753600" cy="7372350"/>
    <xdr:sp>
      <xdr:nvSpPr>
        <xdr:cNvPr id="3" name="Shape 3"/>
        <xdr:cNvSpPr/>
      </xdr:nvSpPr>
      <xdr:spPr>
        <a:xfrm>
          <a:off x="469200" y="98588"/>
          <a:ext cx="9753600" cy="7362825"/>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Least Squares adjustment of  Additive Constant and Scale Factor on 4, 5, 6, 7, or 8 "pillar" EDM calibration baselines.      </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Prepared by Bruce Harvey, Surveying and SIS, UNSW. No responsibility is taken for the use of this spreadsheet.  The calculations are provided in a spreadsheet file because MS Excel is widely available and works under common operating systems, it does not need to be recompiled often, all equations are visible to the user and are not hidden in source code, and users can easily customise the sheets to suit their needs.</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These sheets assume all pillar distances are known, enter the latest Land's Dept values for the "pillar" distances.  </a:t>
          </a:r>
          <a:endParaRPr sz="1400"/>
        </a:p>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   </a:t>
          </a:r>
          <a:endParaRPr sz="1400"/>
        </a:p>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The observed data in these sheets is for example purposes only.  </a:t>
          </a:r>
          <a:r>
            <a:rPr i="0" lang="en-US" sz="1100" u="none" strike="noStrike">
              <a:solidFill>
                <a:srgbClr val="000000"/>
              </a:solidFill>
              <a:latin typeface="Calibri"/>
              <a:ea typeface="Calibri"/>
              <a:cs typeface="Calibri"/>
              <a:sym typeface="Calibri"/>
            </a:rPr>
            <a:t>Enter your values in the </a:t>
          </a:r>
          <a:r>
            <a:rPr i="0" lang="en-US" sz="1100" u="none" strike="noStrike">
              <a:solidFill>
                <a:srgbClr val="0000FF"/>
              </a:solidFill>
              <a:latin typeface="Calibri"/>
              <a:ea typeface="Calibri"/>
              <a:cs typeface="Calibri"/>
              <a:sym typeface="Calibri"/>
            </a:rPr>
            <a:t>blue</a:t>
          </a:r>
          <a:r>
            <a:rPr i="0" lang="en-US" sz="1100" u="none" strike="noStrike">
              <a:solidFill>
                <a:srgbClr val="000000"/>
              </a:solidFill>
              <a:latin typeface="Calibri"/>
              <a:ea typeface="Calibri"/>
              <a:cs typeface="Calibri"/>
              <a:sym typeface="Calibri"/>
            </a:rPr>
            <a:t> cells.</a:t>
          </a:r>
          <a:r>
            <a:rPr i="0" lang="en-US" sz="1200" u="none" strike="noStrike">
              <a:solidFill>
                <a:srgbClr val="000000"/>
              </a:solidFill>
              <a:latin typeface="Calibri"/>
              <a:ea typeface="Calibri"/>
              <a:cs typeface="Calibri"/>
              <a:sym typeface="Calibri"/>
            </a:rPr>
            <a:t> </a:t>
          </a:r>
          <a:r>
            <a:rPr i="0" lang="en-US" sz="1100" u="none" strike="noStrike">
              <a:solidFill>
                <a:srgbClr val="000000"/>
              </a:solidFill>
              <a:latin typeface="Calibri"/>
              <a:ea typeface="Calibri"/>
              <a:cs typeface="Calibri"/>
              <a:sym typeface="Calibri"/>
            </a:rPr>
            <a:t>Hold mouse over </a:t>
          </a:r>
          <a:r>
            <a:rPr i="0" lang="en-US" sz="1100" u="none" strike="noStrike">
              <a:solidFill>
                <a:srgbClr val="FF0000"/>
              </a:solidFill>
              <a:latin typeface="Calibri"/>
              <a:ea typeface="Calibri"/>
              <a:cs typeface="Calibri"/>
              <a:sym typeface="Calibri"/>
            </a:rPr>
            <a:t>red </a:t>
          </a:r>
          <a:r>
            <a:rPr i="0" lang="en-US" sz="1100" u="none" strike="noStrike">
              <a:solidFill>
                <a:srgbClr val="000000"/>
              </a:solidFill>
              <a:latin typeface="Calibri"/>
              <a:ea typeface="Calibri"/>
              <a:cs typeface="Calibri"/>
              <a:sym typeface="Calibri"/>
            </a:rPr>
            <a:t>triangles for comments.   </a:t>
          </a:r>
          <a:endParaRPr sz="1400"/>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Consider the cells with output values shaded yellow.</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Input standard deviations of observations are to be determined by the surveyor.  Advice on these matters is available in reference books.  Your manufacturer's instrument manual may suggest distances have a standard deviation of s = ±(Amm + B ppm). This might be used as a starting estimate.  The spreadsheets calculate s for distances in this style and longer lines have larger s.   Alternatively, you may override this calculation and insert individual values of s for each line.  Also, it is reasonable to expect the standard deviation mean of the forward and backward distance of a line to be s / sqrt(2), where s is the standard deviation of a one way distance. </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Statistical tests on the significance of the additive constant (AC) and scale factor (SF), on the variance factor (VF) and on outliers (large v or large v/s) are also the responsibility of the surveyor.  Advice on these matters is available in reference books. As instruments age (and for  other reasons) AC and SF may change. One statistical test is to compare the parameter with its 95% CI.  If absolute value of the estimate of the parameter is less than its 95%CI the it is reasonable to accept the parameter is zero. If the AC and/or SF are statistically significant then they  should be applied to distances measured with that instrument, an example calculation is given in each spreadsheet.</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[Don't confuse  standard deviations of observations with AC and SF parameters.  In the formula for s above, A is NOT the manufacturer's estimate of the additive constant and B is NOT the scale factor. If the |AC| is &gt; manufacturer's A mentioned above, and / or |SF| &gt; B above, that does not necessarily mean that the instrument is faulty.  ] </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The calculations assume that all distances have been corrected for atmospheric refraction (first velocity), cyclic error, and height variations.  The distances in the Least Squares adjustment sheets are reduced to horizontal at the chosen datum of the baseline.  Do not use slope distances or horizontal distances determined internally by "total stations" using zenith or slope angle observations.</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The calibration parameters apply to the EDM instrument in combination with prism used.  Note that there can be significant differences between corner cube prisms of two different brands, and </a:t>
          </a:r>
          <a:r>
            <a:rPr i="0" lang="en-US" sz="1100" u="none" strike="noStrike">
              <a:solidFill>
                <a:srgbClr val="000000"/>
              </a:solidFill>
              <a:latin typeface="Calibri"/>
              <a:ea typeface="Calibri"/>
              <a:cs typeface="Calibri"/>
              <a:sym typeface="Calibri"/>
            </a:rPr>
            <a:t>significant </a:t>
          </a:r>
          <a:r>
            <a:rPr i="0" lang="en-US" sz="1200" u="none" strike="noStrike">
              <a:solidFill>
                <a:srgbClr val="000000"/>
              </a:solidFill>
              <a:latin typeface="Calibri"/>
              <a:ea typeface="Calibri"/>
              <a:cs typeface="Calibri"/>
              <a:sym typeface="Calibri"/>
            </a:rPr>
            <a:t>differences between conventional corner cube prisms, mini prisms and 360 deg prisms. There might also be a significant difference between calibration parameters when operating an EDM in prism and non prism mode, if that feature is available. </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Least Squares calculations: Assuming that the observed distances are not correlated leads to a diagonal Q matirx with s</a:t>
          </a:r>
          <a:r>
            <a:rPr baseline="-25000" i="0" lang="en-US" sz="1100" u="none" strike="noStrike">
              <a:solidFill>
                <a:srgbClr val="000000"/>
              </a:solidFill>
              <a:latin typeface="Calibri"/>
              <a:ea typeface="Calibri"/>
              <a:cs typeface="Calibri"/>
              <a:sym typeface="Calibri"/>
            </a:rPr>
            <a:t>i</a:t>
          </a:r>
          <a:r>
            <a:rPr i="0" lang="en-US" sz="1100" u="none" strike="noStrike">
              <a:solidFill>
                <a:srgbClr val="000000"/>
              </a:solidFill>
              <a:latin typeface="Calibri"/>
              <a:ea typeface="Calibri"/>
              <a:cs typeface="Calibri"/>
              <a:sym typeface="Calibri"/>
            </a:rPr>
            <a:t>*s</a:t>
          </a:r>
          <a:r>
            <a:rPr baseline="-25000" i="0" lang="en-US" sz="1100" u="none" strike="noStrike">
              <a:solidFill>
                <a:srgbClr val="000000"/>
              </a:solidFill>
              <a:latin typeface="Calibri"/>
              <a:ea typeface="Calibri"/>
              <a:cs typeface="Calibri"/>
              <a:sym typeface="Calibri"/>
            </a:rPr>
            <a:t>i</a:t>
          </a:r>
          <a:r>
            <a:rPr i="0" lang="en-US" sz="1100" u="none" strike="noStrike">
              <a:solidFill>
                <a:srgbClr val="000000"/>
              </a:solidFill>
              <a:latin typeface="Calibri"/>
              <a:ea typeface="Calibri"/>
              <a:cs typeface="Calibri"/>
              <a:sym typeface="Calibri"/>
            </a:rPr>
            <a:t> on the diagonals and also a diagonal P matrix.  The Least Squares matrix calculations can then be simplified from N = A</a:t>
          </a:r>
          <a:r>
            <a:rPr baseline="30000" i="0" lang="en-US" sz="1100" u="none" strike="noStrike">
              <a:solidFill>
                <a:srgbClr val="000000"/>
              </a:solidFill>
              <a:latin typeface="Calibri"/>
              <a:ea typeface="Calibri"/>
              <a:cs typeface="Calibri"/>
              <a:sym typeface="Calibri"/>
            </a:rPr>
            <a:t>T</a:t>
          </a:r>
          <a:r>
            <a:rPr i="0" lang="en-US" sz="1100" u="none" strike="noStrike">
              <a:solidFill>
                <a:srgbClr val="000000"/>
              </a:solidFill>
              <a:latin typeface="Calibri"/>
              <a:ea typeface="Calibri"/>
              <a:cs typeface="Calibri"/>
              <a:sym typeface="Calibri"/>
            </a:rPr>
            <a:t>PA and dx = (A</a:t>
          </a:r>
          <a:r>
            <a:rPr baseline="30000" i="0" lang="en-US" sz="1100" u="none" strike="noStrike">
              <a:solidFill>
                <a:srgbClr val="000000"/>
              </a:solidFill>
              <a:latin typeface="Calibri"/>
              <a:ea typeface="Calibri"/>
              <a:cs typeface="Calibri"/>
              <a:sym typeface="Calibri"/>
            </a:rPr>
            <a:t>T</a:t>
          </a:r>
          <a:r>
            <a:rPr i="0" lang="en-US" sz="1100" u="none" strike="noStrike">
              <a:solidFill>
                <a:srgbClr val="000000"/>
              </a:solidFill>
              <a:latin typeface="Calibri"/>
              <a:ea typeface="Calibri"/>
              <a:cs typeface="Calibri"/>
              <a:sym typeface="Calibri"/>
            </a:rPr>
            <a:t>PA)</a:t>
          </a:r>
          <a:r>
            <a:rPr baseline="30000" i="0" lang="en-US" sz="1100" u="none" strike="noStrike">
              <a:solidFill>
                <a:srgbClr val="000000"/>
              </a:solidFill>
              <a:latin typeface="Calibri"/>
              <a:ea typeface="Calibri"/>
              <a:cs typeface="Calibri"/>
              <a:sym typeface="Calibri"/>
            </a:rPr>
            <a:t>1</a:t>
          </a:r>
          <a:r>
            <a:rPr i="0" lang="en-US" sz="1100" u="none" strike="noStrike">
              <a:solidFill>
                <a:srgbClr val="000000"/>
              </a:solidFill>
              <a:latin typeface="Calibri"/>
              <a:ea typeface="Calibri"/>
              <a:cs typeface="Calibri"/>
              <a:sym typeface="Calibri"/>
            </a:rPr>
            <a:t>A</a:t>
          </a:r>
          <a:r>
            <a:rPr baseline="30000" i="0" lang="en-US" sz="1100" u="none" strike="noStrike">
              <a:solidFill>
                <a:srgbClr val="000000"/>
              </a:solidFill>
              <a:latin typeface="Calibri"/>
              <a:ea typeface="Calibri"/>
              <a:cs typeface="Calibri"/>
              <a:sym typeface="Calibri"/>
            </a:rPr>
            <a:t>T</a:t>
          </a:r>
          <a:r>
            <a:rPr i="0" lang="en-US" sz="1100" u="none" strike="noStrike">
              <a:solidFill>
                <a:srgbClr val="000000"/>
              </a:solidFill>
              <a:latin typeface="Calibri"/>
              <a:ea typeface="Calibri"/>
              <a:cs typeface="Calibri"/>
              <a:sym typeface="Calibri"/>
            </a:rPr>
            <a:t>Pb by dividing the terms in A and b by s</a:t>
          </a:r>
          <a:r>
            <a:rPr baseline="-25000" i="0" lang="en-US" sz="1100" u="none" strike="noStrike">
              <a:solidFill>
                <a:srgbClr val="000000"/>
              </a:solidFill>
              <a:latin typeface="Calibri"/>
              <a:ea typeface="Calibri"/>
              <a:cs typeface="Calibri"/>
              <a:sym typeface="Calibri"/>
            </a:rPr>
            <a:t>i</a:t>
          </a:r>
          <a:r>
            <a:rPr i="0" lang="en-US" sz="1100" u="none" strike="noStrike">
              <a:solidFill>
                <a:srgbClr val="000000"/>
              </a:solidFill>
              <a:latin typeface="Calibri"/>
              <a:ea typeface="Calibri"/>
              <a:cs typeface="Calibri"/>
              <a:sym typeface="Calibri"/>
            </a:rPr>
            <a:t> .  </a:t>
          </a:r>
          <a:endParaRPr sz="1400"/>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Then, N = (A/s)</a:t>
          </a:r>
          <a:r>
            <a:rPr baseline="30000" i="0" lang="en-US" sz="1100" u="none" strike="noStrike">
              <a:solidFill>
                <a:srgbClr val="000000"/>
              </a:solidFill>
              <a:latin typeface="Calibri"/>
              <a:ea typeface="Calibri"/>
              <a:cs typeface="Calibri"/>
              <a:sym typeface="Calibri"/>
            </a:rPr>
            <a:t>T</a:t>
          </a:r>
          <a:r>
            <a:rPr i="0" lang="en-US" sz="1100" u="none" strike="noStrike">
              <a:solidFill>
                <a:srgbClr val="000000"/>
              </a:solidFill>
              <a:latin typeface="Calibri"/>
              <a:ea typeface="Calibri"/>
              <a:cs typeface="Calibri"/>
              <a:sym typeface="Calibri"/>
            </a:rPr>
            <a:t>(A/s) and dx = N</a:t>
          </a:r>
          <a:r>
            <a:rPr baseline="30000" i="0" lang="en-US" sz="1100" u="none" strike="noStrike">
              <a:solidFill>
                <a:srgbClr val="000000"/>
              </a:solidFill>
              <a:latin typeface="Calibri"/>
              <a:ea typeface="Calibri"/>
              <a:cs typeface="Calibri"/>
              <a:sym typeface="Calibri"/>
            </a:rPr>
            <a:t>-1</a:t>
          </a:r>
          <a:r>
            <a:rPr i="0" lang="en-US" sz="1100" u="none" strike="noStrike">
              <a:solidFill>
                <a:srgbClr val="000000"/>
              </a:solidFill>
              <a:latin typeface="Calibri"/>
              <a:ea typeface="Calibri"/>
              <a:cs typeface="Calibri"/>
              <a:sym typeface="Calibri"/>
            </a:rPr>
            <a:t>(A/s)</a:t>
          </a:r>
          <a:r>
            <a:rPr baseline="30000" i="0" lang="en-US" sz="1100" u="none" strike="noStrike">
              <a:solidFill>
                <a:srgbClr val="000000"/>
              </a:solidFill>
              <a:latin typeface="Calibri"/>
              <a:ea typeface="Calibri"/>
              <a:cs typeface="Calibri"/>
              <a:sym typeface="Calibri"/>
            </a:rPr>
            <a:t>T</a:t>
          </a:r>
          <a:r>
            <a:rPr i="0" lang="en-US" sz="1100" u="none" strike="noStrike">
              <a:solidFill>
                <a:srgbClr val="000000"/>
              </a:solidFill>
              <a:latin typeface="Calibri"/>
              <a:ea typeface="Calibri"/>
              <a:cs typeface="Calibri"/>
              <a:sym typeface="Calibri"/>
            </a:rPr>
            <a:t>(b/s) </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Reference books:   </a:t>
          </a:r>
          <a:endParaRPr sz="1400"/>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Rueger, J.M., (1996) "Electronic Distance Measurement – An Introduction", 4</a:t>
          </a:r>
          <a:r>
            <a:rPr baseline="30000" i="0" lang="en-US" sz="1100" u="none" strike="noStrike">
              <a:solidFill>
                <a:srgbClr val="000000"/>
              </a:solidFill>
              <a:latin typeface="Calibri"/>
              <a:ea typeface="Calibri"/>
              <a:cs typeface="Calibri"/>
              <a:sym typeface="Calibri"/>
            </a:rPr>
            <a:t>th</a:t>
          </a:r>
          <a:r>
            <a:rPr i="0" lang="en-US" sz="1100" u="none" strike="noStrike">
              <a:solidFill>
                <a:srgbClr val="000000"/>
              </a:solidFill>
              <a:latin typeface="Calibri"/>
              <a:ea typeface="Calibri"/>
              <a:cs typeface="Calibri"/>
              <a:sym typeface="Calibri"/>
            </a:rPr>
            <a:t> Ed,  Springer-Verlag, Berlin-Heidelburg-New York.</a:t>
          </a:r>
          <a:endParaRPr sz="1400"/>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Harvey, B.R. (2006) "Practical Least Squares and Statistics for Surveyors", Monograph 13, Third Edition, School of Surveying and Spatial Information Systems, UNSW. 332 + x pp.  ISBN 0-7334-2339-6</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 </a:t>
          </a:r>
          <a:endParaRPr sz="1400"/>
        </a:p>
        <a:p>
          <a:pPr indent="0" lvl="0" marL="0" rtl="0" algn="l">
            <a:spcBef>
              <a:spcPts val="0"/>
            </a:spcBef>
            <a:spcAft>
              <a:spcPts val="0"/>
            </a:spcAft>
            <a:buNone/>
          </a:pPr>
          <a:r>
            <a:t/>
          </a:r>
          <a:endParaRPr i="0" sz="1100" u="none" strike="noStrike">
            <a:solidFill>
              <a:srgbClr val="000000"/>
            </a:solidFill>
            <a:latin typeface="Calibri"/>
            <a:ea typeface="Calibri"/>
            <a:cs typeface="Calibri"/>
            <a:sym typeface="Calibri"/>
          </a:endParaRPr>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276225</xdr:colOff>
      <xdr:row>1</xdr:row>
      <xdr:rowOff>28575</xdr:rowOff>
    </xdr:from>
    <xdr:ext cx="3800475" cy="657225"/>
    <xdr:sp>
      <xdr:nvSpPr>
        <xdr:cNvPr id="4" name="Shape 4"/>
        <xdr:cNvSpPr/>
      </xdr:nvSpPr>
      <xdr:spPr>
        <a:xfrm>
          <a:off x="3445763" y="3456150"/>
          <a:ext cx="3800475" cy="6477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Enter values in blue, answers in yellow cells.</a:t>
          </a:r>
          <a:endParaRPr sz="1400"/>
        </a:p>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This sheet assumes that zero corrections (eg 0ppm) have been applied onboard the instrument. Example data supplied, replace with your measurements</a:t>
          </a:r>
          <a:endParaRPr sz="1400"/>
        </a:p>
      </xdr:txBody>
    </xdr:sp>
    <xdr:clientData fLocksWithSheet="0"/>
  </xdr:oneCellAnchor>
  <xdr:oneCellAnchor>
    <xdr:from>
      <xdr:col>12</xdr:col>
      <xdr:colOff>152400</xdr:colOff>
      <xdr:row>1</xdr:row>
      <xdr:rowOff>142875</xdr:rowOff>
    </xdr:from>
    <xdr:ext cx="3200400" cy="647700"/>
    <xdr:sp>
      <xdr:nvSpPr>
        <xdr:cNvPr id="5" name="Shape 5"/>
        <xdr:cNvSpPr/>
      </xdr:nvSpPr>
      <xdr:spPr>
        <a:xfrm>
          <a:off x="3750563" y="3460913"/>
          <a:ext cx="3190875" cy="638175"/>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100" u="none" strike="noStrike">
              <a:solidFill>
                <a:srgbClr val="000000"/>
              </a:solidFill>
              <a:latin typeface="Calibri"/>
              <a:ea typeface="Calibri"/>
              <a:cs typeface="Calibri"/>
              <a:sym typeface="Calibri"/>
            </a:rPr>
            <a:t>Surveyors may wish to replace this sheet with their own custom made sheet for calculating the corrections for their instruments</a:t>
          </a:r>
          <a:endParaRPr sz="1400"/>
        </a:p>
      </xdr:txBody>
    </xdr:sp>
    <xdr:clientData fLocksWithSheet="0"/>
  </xdr:oneCellAnchor>
  <xdr:oneCellAnchor>
    <xdr:from>
      <xdr:col>2</xdr:col>
      <xdr:colOff>152400</xdr:colOff>
      <xdr:row>36</xdr:row>
      <xdr:rowOff>38100</xdr:rowOff>
    </xdr:from>
    <xdr:ext cx="3267075" cy="838200"/>
    <xdr:sp>
      <xdr:nvSpPr>
        <xdr:cNvPr id="6" name="Shape 6"/>
        <xdr:cNvSpPr/>
      </xdr:nvSpPr>
      <xdr:spPr>
        <a:xfrm>
          <a:off x="3717225" y="3365663"/>
          <a:ext cx="3257550" cy="828675"/>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i="0" lang="en-US" sz="1100" u="none" strike="noStrike">
              <a:solidFill>
                <a:srgbClr val="000000"/>
              </a:solidFill>
              <a:latin typeface="Calibri"/>
              <a:ea typeface="Calibri"/>
              <a:cs typeface="Calibri"/>
              <a:sym typeface="Calibri"/>
            </a:rPr>
            <a:t>How to get the Constants, C and D terms, for First Velocity Correction in EDM: </a:t>
          </a:r>
          <a:endParaRPr sz="1400"/>
        </a:p>
        <a:p>
          <a:pPr indent="0" lvl="0" marL="0" rtl="0" algn="l">
            <a:spcBef>
              <a:spcPts val="0"/>
            </a:spcBef>
            <a:spcAft>
              <a:spcPts val="0"/>
            </a:spcAft>
            <a:buNone/>
          </a:pPr>
          <a:r>
            <a:rPr b="1" i="0" lang="en-US" sz="1100" u="none" strike="noStrike">
              <a:solidFill>
                <a:srgbClr val="000000"/>
              </a:solidFill>
              <a:latin typeface="Calibri"/>
              <a:ea typeface="Calibri"/>
              <a:cs typeface="Calibri"/>
              <a:sym typeface="Calibri"/>
            </a:rPr>
            <a:t> </a:t>
          </a:r>
          <a:r>
            <a:rPr i="0" lang="en-US" sz="1100" u="none" strike="noStrike">
              <a:solidFill>
                <a:srgbClr val="000000"/>
              </a:solidFill>
              <a:latin typeface="Calibri"/>
              <a:ea typeface="Calibri"/>
              <a:cs typeface="Calibri"/>
              <a:sym typeface="Calibri"/>
            </a:rPr>
            <a:t>See JM Rueger's article in </a:t>
          </a:r>
          <a:r>
            <a:rPr i="1" lang="en-US" sz="1100" u="none" strike="noStrike">
              <a:solidFill>
                <a:srgbClr val="000000"/>
              </a:solidFill>
              <a:latin typeface="Calibri"/>
              <a:ea typeface="Calibri"/>
              <a:cs typeface="Calibri"/>
              <a:sym typeface="Calibri"/>
            </a:rPr>
            <a:t>AZIMUTH (The NSW Surveyors Monthly Magazine), July 2007</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161925</xdr:colOff>
      <xdr:row>2</xdr:row>
      <xdr:rowOff>47625</xdr:rowOff>
    </xdr:from>
    <xdr:ext cx="2886075" cy="1514475"/>
    <xdr:sp>
      <xdr:nvSpPr>
        <xdr:cNvPr id="7" name="Shape 7"/>
        <xdr:cNvSpPr/>
      </xdr:nvSpPr>
      <xdr:spPr>
        <a:xfrm>
          <a:off x="3907725" y="3027525"/>
          <a:ext cx="2876550" cy="150495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Is the earth flat? NO, so unless all targets on pillars are on the same line (horizontally and vertically) then corrections are necessary.</a:t>
          </a:r>
          <a:endParaRPr sz="1400"/>
        </a:p>
        <a:p>
          <a:pPr indent="0" lvl="0" marL="0" rtl="0" algn="l">
            <a:spcBef>
              <a:spcPts val="0"/>
            </a:spcBef>
            <a:spcAft>
              <a:spcPts val="0"/>
            </a:spcAft>
            <a:buNone/>
          </a:pPr>
          <a:r>
            <a:t/>
          </a:r>
          <a:endParaRPr i="0" sz="1000" u="none" strike="noStrike">
            <a:solidFill>
              <a:srgbClr val="000000"/>
            </a:solidFill>
            <a:latin typeface="Arial"/>
            <a:ea typeface="Arial"/>
            <a:cs typeface="Arial"/>
            <a:sym typeface="Arial"/>
          </a:endParaRPr>
        </a:p>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Using Heights is better than using one way ZAs</a:t>
          </a:r>
          <a:endParaRPr sz="1400"/>
        </a:p>
        <a:p>
          <a:pPr indent="0" lvl="0" marL="0" rtl="0" algn="l">
            <a:spcBef>
              <a:spcPts val="0"/>
            </a:spcBef>
            <a:spcAft>
              <a:spcPts val="0"/>
            </a:spcAft>
            <a:buNone/>
          </a:pPr>
          <a:r>
            <a:t/>
          </a:r>
          <a:endParaRPr i="0" sz="1000" u="none" strike="noStrike">
            <a:solidFill>
              <a:srgbClr val="000000"/>
            </a:solidFill>
            <a:latin typeface="Arial"/>
            <a:ea typeface="Arial"/>
            <a:cs typeface="Arial"/>
            <a:sym typeface="Arial"/>
          </a:endParaRPr>
        </a:p>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Can't just use SD* SD = HD * HD + DH * DH</a:t>
          </a:r>
          <a:endParaRPr sz="1400"/>
        </a:p>
        <a:p>
          <a:pPr indent="0" lvl="0" marL="0" rtl="0" algn="l">
            <a:spcBef>
              <a:spcPts val="0"/>
            </a:spcBef>
            <a:spcAft>
              <a:spcPts val="0"/>
            </a:spcAft>
            <a:buNone/>
          </a:pPr>
          <a:r>
            <a:t/>
          </a:r>
          <a:endParaRPr i="0" sz="1000" u="none" strike="noStrike">
            <a:solidFill>
              <a:srgbClr val="000000"/>
            </a:solidFill>
            <a:latin typeface="Arial"/>
            <a:ea typeface="Arial"/>
            <a:cs typeface="Arial"/>
            <a:sym typeface="Arial"/>
          </a:endParaRPr>
        </a:p>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See JMRueger's EDM texbook and NSW Surveyor General's Instructions on EDM</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476250</xdr:colOff>
      <xdr:row>7</xdr:row>
      <xdr:rowOff>123825</xdr:rowOff>
    </xdr:from>
    <xdr:ext cx="3257550" cy="400050"/>
    <xdr:sp>
      <xdr:nvSpPr>
        <xdr:cNvPr id="8" name="Shape 8"/>
        <xdr:cNvSpPr/>
      </xdr:nvSpPr>
      <xdr:spPr>
        <a:xfrm>
          <a:off x="3721988" y="3584738"/>
          <a:ext cx="3248025" cy="390525"/>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FF"/>
              </a:solidFill>
              <a:latin typeface="Arial"/>
              <a:ea typeface="Arial"/>
              <a:cs typeface="Arial"/>
              <a:sym typeface="Arial"/>
            </a:rPr>
            <a:t>Enter your values in the blue cells</a:t>
          </a:r>
          <a:r>
            <a:rPr i="0" lang="en-US" sz="1000" u="none" strike="noStrike">
              <a:solidFill>
                <a:srgbClr val="000000"/>
              </a:solidFill>
              <a:latin typeface="Arial"/>
              <a:ea typeface="Arial"/>
              <a:cs typeface="Arial"/>
              <a:sym typeface="Arial"/>
            </a:rPr>
            <a:t>.</a:t>
          </a:r>
          <a:endParaRPr sz="1400"/>
        </a:p>
        <a:p>
          <a:pPr indent="0" lvl="0" marL="0" rtl="0" algn="l">
            <a:spcBef>
              <a:spcPts val="0"/>
            </a:spcBef>
            <a:spcAft>
              <a:spcPts val="0"/>
            </a:spcAft>
            <a:buNone/>
          </a:pPr>
          <a:r>
            <a:rPr i="0" lang="en-US" sz="1000" u="none" strike="noStrike">
              <a:solidFill>
                <a:srgbClr val="FF0000"/>
              </a:solidFill>
              <a:latin typeface="Arial"/>
              <a:ea typeface="Arial"/>
              <a:cs typeface="Arial"/>
              <a:sym typeface="Arial"/>
            </a:rPr>
            <a:t>Hold mouse over red triangles for comments.</a:t>
          </a:r>
          <a:endParaRPr sz="1400"/>
        </a:p>
      </xdr:txBody>
    </xdr:sp>
    <xdr:clientData fLocksWithSheet="0"/>
  </xdr:oneCellAnchor>
  <xdr:oneCellAnchor>
    <xdr:from>
      <xdr:col>0</xdr:col>
      <xdr:colOff>381000</xdr:colOff>
      <xdr:row>0</xdr:row>
      <xdr:rowOff>95250</xdr:rowOff>
    </xdr:from>
    <xdr:ext cx="6400800" cy="542925"/>
    <xdr:sp>
      <xdr:nvSpPr>
        <xdr:cNvPr id="9" name="Shape 9"/>
        <xdr:cNvSpPr/>
      </xdr:nvSpPr>
      <xdr:spPr>
        <a:xfrm>
          <a:off x="2150363" y="3513300"/>
          <a:ext cx="6391275" cy="533400"/>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Least Squares adjustment of  Additive Constant and Scale Factor on 4 "pillar" EDM calibration baseline. See Notes sheet.</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266700</xdr:colOff>
      <xdr:row>7</xdr:row>
      <xdr:rowOff>57150</xdr:rowOff>
    </xdr:from>
    <xdr:ext cx="3286125" cy="428625"/>
    <xdr:sp>
      <xdr:nvSpPr>
        <xdr:cNvPr id="10" name="Shape 10"/>
        <xdr:cNvSpPr/>
      </xdr:nvSpPr>
      <xdr:spPr>
        <a:xfrm>
          <a:off x="3707700" y="3570450"/>
          <a:ext cx="3276600" cy="4191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FF"/>
              </a:solidFill>
              <a:latin typeface="Arial"/>
              <a:ea typeface="Arial"/>
              <a:cs typeface="Arial"/>
              <a:sym typeface="Arial"/>
            </a:rPr>
            <a:t>Enter your values in the blue cells</a:t>
          </a:r>
          <a:r>
            <a:rPr i="0" lang="en-US" sz="1000" u="none" strike="noStrike">
              <a:solidFill>
                <a:srgbClr val="000000"/>
              </a:solidFill>
              <a:latin typeface="Arial"/>
              <a:ea typeface="Arial"/>
              <a:cs typeface="Arial"/>
              <a:sym typeface="Arial"/>
            </a:rPr>
            <a:t>.</a:t>
          </a:r>
          <a:endParaRPr sz="1400"/>
        </a:p>
        <a:p>
          <a:pPr indent="0" lvl="0" marL="0" rtl="0" algn="l">
            <a:spcBef>
              <a:spcPts val="0"/>
            </a:spcBef>
            <a:spcAft>
              <a:spcPts val="0"/>
            </a:spcAft>
            <a:buNone/>
          </a:pPr>
          <a:r>
            <a:rPr i="0" lang="en-US" sz="1000" u="none" strike="noStrike">
              <a:solidFill>
                <a:srgbClr val="FF0000"/>
              </a:solidFill>
              <a:latin typeface="Arial"/>
              <a:ea typeface="Arial"/>
              <a:cs typeface="Arial"/>
              <a:sym typeface="Arial"/>
            </a:rPr>
            <a:t>Hold mouse over red triangles for comments.</a:t>
          </a:r>
          <a:endParaRPr sz="1400"/>
        </a:p>
      </xdr:txBody>
    </xdr:sp>
    <xdr:clientData fLocksWithSheet="0"/>
  </xdr:oneCellAnchor>
  <xdr:oneCellAnchor>
    <xdr:from>
      <xdr:col>0</xdr:col>
      <xdr:colOff>381000</xdr:colOff>
      <xdr:row>1</xdr:row>
      <xdr:rowOff>0</xdr:rowOff>
    </xdr:from>
    <xdr:ext cx="6381750" cy="514350"/>
    <xdr:sp>
      <xdr:nvSpPr>
        <xdr:cNvPr id="11" name="Shape 11"/>
        <xdr:cNvSpPr/>
      </xdr:nvSpPr>
      <xdr:spPr>
        <a:xfrm>
          <a:off x="2159888" y="3527588"/>
          <a:ext cx="6372225" cy="504825"/>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Least Squares adjustment of  Additive Constant and Scale Factor on 5 "pillar" EDM calibration baseline. See Notes sheet.</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133350</xdr:rowOff>
    </xdr:from>
    <xdr:ext cx="6391275" cy="523875"/>
    <xdr:sp>
      <xdr:nvSpPr>
        <xdr:cNvPr id="12" name="Shape 12"/>
        <xdr:cNvSpPr/>
      </xdr:nvSpPr>
      <xdr:spPr>
        <a:xfrm>
          <a:off x="2155125" y="3522825"/>
          <a:ext cx="6381750" cy="514350"/>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Least Squares adjustment of  Additive Constant and Scale Factor on 6 "pillar" EDM calibration baseline. See Notes sheet.</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xdr:txBody>
    </xdr:sp>
    <xdr:clientData fLocksWithSheet="0"/>
  </xdr:oneCellAnchor>
  <xdr:oneCellAnchor>
    <xdr:from>
      <xdr:col>6</xdr:col>
      <xdr:colOff>219075</xdr:colOff>
      <xdr:row>7</xdr:row>
      <xdr:rowOff>0</xdr:rowOff>
    </xdr:from>
    <xdr:ext cx="2943225" cy="428625"/>
    <xdr:sp>
      <xdr:nvSpPr>
        <xdr:cNvPr id="13" name="Shape 13"/>
        <xdr:cNvSpPr/>
      </xdr:nvSpPr>
      <xdr:spPr>
        <a:xfrm>
          <a:off x="3879150" y="3570450"/>
          <a:ext cx="2933700" cy="4191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FF"/>
              </a:solidFill>
              <a:latin typeface="Arial"/>
              <a:ea typeface="Arial"/>
              <a:cs typeface="Arial"/>
              <a:sym typeface="Arial"/>
            </a:rPr>
            <a:t>Enter your values in the blue cells</a:t>
          </a:r>
          <a:r>
            <a:rPr i="0" lang="en-US" sz="1000" u="none" strike="noStrike">
              <a:solidFill>
                <a:srgbClr val="000000"/>
              </a:solidFill>
              <a:latin typeface="Arial"/>
              <a:ea typeface="Arial"/>
              <a:cs typeface="Arial"/>
              <a:sym typeface="Arial"/>
            </a:rPr>
            <a:t>.</a:t>
          </a:r>
          <a:endParaRPr sz="1400"/>
        </a:p>
        <a:p>
          <a:pPr indent="0" lvl="0" marL="0" rtl="0" algn="l">
            <a:spcBef>
              <a:spcPts val="0"/>
            </a:spcBef>
            <a:spcAft>
              <a:spcPts val="0"/>
            </a:spcAft>
            <a:buNone/>
          </a:pPr>
          <a:r>
            <a:rPr i="0" lang="en-US" sz="1000" u="none" strike="noStrike">
              <a:solidFill>
                <a:srgbClr val="FF0000"/>
              </a:solidFill>
              <a:latin typeface="Arial"/>
              <a:ea typeface="Arial"/>
              <a:cs typeface="Arial"/>
              <a:sym typeface="Arial"/>
            </a:rPr>
            <a:t>Hold mouse over red triangles for comments.</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133350</xdr:rowOff>
    </xdr:from>
    <xdr:ext cx="6391275" cy="523875"/>
    <xdr:sp>
      <xdr:nvSpPr>
        <xdr:cNvPr id="14" name="Shape 14"/>
        <xdr:cNvSpPr/>
      </xdr:nvSpPr>
      <xdr:spPr>
        <a:xfrm>
          <a:off x="2155125" y="3522825"/>
          <a:ext cx="6381750" cy="514350"/>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Least Squares adjustment of  Additive Constant and Scale Factor on 7 "pillar" EDM calibration baseline. See Notes sheet.</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xdr:txBody>
    </xdr:sp>
    <xdr:clientData fLocksWithSheet="0"/>
  </xdr:oneCellAnchor>
  <xdr:oneCellAnchor>
    <xdr:from>
      <xdr:col>6</xdr:col>
      <xdr:colOff>219075</xdr:colOff>
      <xdr:row>7</xdr:row>
      <xdr:rowOff>0</xdr:rowOff>
    </xdr:from>
    <xdr:ext cx="2943225" cy="428625"/>
    <xdr:sp>
      <xdr:nvSpPr>
        <xdr:cNvPr id="15" name="Shape 15"/>
        <xdr:cNvSpPr/>
      </xdr:nvSpPr>
      <xdr:spPr>
        <a:xfrm>
          <a:off x="3879150" y="3570450"/>
          <a:ext cx="2933700" cy="4191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FF"/>
              </a:solidFill>
              <a:latin typeface="Arial"/>
              <a:ea typeface="Arial"/>
              <a:cs typeface="Arial"/>
              <a:sym typeface="Arial"/>
            </a:rPr>
            <a:t>Enter your values in the blue cells</a:t>
          </a:r>
          <a:r>
            <a:rPr i="0" lang="en-US" sz="1000" u="none" strike="noStrike">
              <a:solidFill>
                <a:srgbClr val="000000"/>
              </a:solidFill>
              <a:latin typeface="Arial"/>
              <a:ea typeface="Arial"/>
              <a:cs typeface="Arial"/>
              <a:sym typeface="Arial"/>
            </a:rPr>
            <a:t>.</a:t>
          </a:r>
          <a:endParaRPr sz="1400"/>
        </a:p>
        <a:p>
          <a:pPr indent="0" lvl="0" marL="0" rtl="0" algn="l">
            <a:spcBef>
              <a:spcPts val="0"/>
            </a:spcBef>
            <a:spcAft>
              <a:spcPts val="0"/>
            </a:spcAft>
            <a:buNone/>
          </a:pPr>
          <a:r>
            <a:rPr i="0" lang="en-US" sz="1000" u="none" strike="noStrike">
              <a:solidFill>
                <a:srgbClr val="FF0000"/>
              </a:solidFill>
              <a:latin typeface="Arial"/>
              <a:ea typeface="Arial"/>
              <a:cs typeface="Arial"/>
              <a:sym typeface="Arial"/>
            </a:rPr>
            <a:t>Hold mouse over red triangles for comments.</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133350</xdr:rowOff>
    </xdr:from>
    <xdr:ext cx="6391275" cy="523875"/>
    <xdr:sp>
      <xdr:nvSpPr>
        <xdr:cNvPr id="16" name="Shape 16"/>
        <xdr:cNvSpPr/>
      </xdr:nvSpPr>
      <xdr:spPr>
        <a:xfrm>
          <a:off x="2155125" y="3522825"/>
          <a:ext cx="6381750" cy="514350"/>
        </a:xfrm>
        <a:prstGeom prst="rect">
          <a:avLst/>
        </a:prstGeom>
        <a:solidFill>
          <a:srgbClr val="FFFFFF"/>
        </a:solidFill>
        <a:ln cap="flat" cmpd="sng" w="9525">
          <a:solidFill>
            <a:srgbClr val="BCBCBC"/>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200" u="none" strike="noStrike">
              <a:solidFill>
                <a:srgbClr val="000000"/>
              </a:solidFill>
              <a:latin typeface="Calibri"/>
              <a:ea typeface="Calibri"/>
              <a:cs typeface="Calibri"/>
              <a:sym typeface="Calibri"/>
            </a:rPr>
            <a:t>Least Squares adjustment of  Additive Constant and Scale Factor on 8 "pillar" EDM calibration baseline. See Notes sheet.</a:t>
          </a:r>
          <a:endParaRPr sz="1400"/>
        </a:p>
        <a:p>
          <a:pPr indent="0" lvl="0" marL="0" rtl="0" algn="l">
            <a:spcBef>
              <a:spcPts val="0"/>
            </a:spcBef>
            <a:spcAft>
              <a:spcPts val="0"/>
            </a:spcAft>
            <a:buNone/>
          </a:pPr>
          <a:r>
            <a:t/>
          </a:r>
          <a:endParaRPr i="0" sz="1200" u="none" strike="noStrike">
            <a:solidFill>
              <a:srgbClr val="000000"/>
            </a:solidFill>
            <a:latin typeface="Calibri"/>
            <a:ea typeface="Calibri"/>
            <a:cs typeface="Calibri"/>
            <a:sym typeface="Calibri"/>
          </a:endParaRPr>
        </a:p>
      </xdr:txBody>
    </xdr:sp>
    <xdr:clientData fLocksWithSheet="0"/>
  </xdr:oneCellAnchor>
  <xdr:oneCellAnchor>
    <xdr:from>
      <xdr:col>6</xdr:col>
      <xdr:colOff>219075</xdr:colOff>
      <xdr:row>7</xdr:row>
      <xdr:rowOff>0</xdr:rowOff>
    </xdr:from>
    <xdr:ext cx="3038475" cy="428625"/>
    <xdr:sp>
      <xdr:nvSpPr>
        <xdr:cNvPr id="17" name="Shape 17"/>
        <xdr:cNvSpPr/>
      </xdr:nvSpPr>
      <xdr:spPr>
        <a:xfrm>
          <a:off x="3831525" y="3570450"/>
          <a:ext cx="3028950" cy="4191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FF"/>
              </a:solidFill>
              <a:latin typeface="Arial"/>
              <a:ea typeface="Arial"/>
              <a:cs typeface="Arial"/>
              <a:sym typeface="Arial"/>
            </a:rPr>
            <a:t>Enter your values in the blue cells</a:t>
          </a:r>
          <a:r>
            <a:rPr i="0" lang="en-US" sz="1000" u="none" strike="noStrike">
              <a:solidFill>
                <a:srgbClr val="000000"/>
              </a:solidFill>
              <a:latin typeface="Arial"/>
              <a:ea typeface="Arial"/>
              <a:cs typeface="Arial"/>
              <a:sym typeface="Arial"/>
            </a:rPr>
            <a:t>.</a:t>
          </a:r>
          <a:endParaRPr sz="1400"/>
        </a:p>
        <a:p>
          <a:pPr indent="0" lvl="0" marL="0" rtl="0" algn="l">
            <a:spcBef>
              <a:spcPts val="0"/>
            </a:spcBef>
            <a:spcAft>
              <a:spcPts val="0"/>
            </a:spcAft>
            <a:buNone/>
          </a:pPr>
          <a:r>
            <a:rPr i="0" lang="en-US" sz="1000" u="none" strike="noStrike">
              <a:solidFill>
                <a:srgbClr val="FF0000"/>
              </a:solidFill>
              <a:latin typeface="Arial"/>
              <a:ea typeface="Arial"/>
              <a:cs typeface="Arial"/>
              <a:sym typeface="Arial"/>
            </a:rPr>
            <a:t>Hold mouse over red triangles for comments.</a:t>
          </a:r>
          <a:endParaRPr sz="14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514350</xdr:colOff>
      <xdr:row>32</xdr:row>
      <xdr:rowOff>0</xdr:rowOff>
    </xdr:from>
    <xdr:ext cx="6429375" cy="3629025"/>
    <xdr:graphicFrame>
      <xdr:nvGraphicFramePr>
        <xdr:cNvPr descr="Chart 0"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14</xdr:col>
      <xdr:colOff>114300</xdr:colOff>
      <xdr:row>1</xdr:row>
      <xdr:rowOff>38100</xdr:rowOff>
    </xdr:from>
    <xdr:ext cx="1971675" cy="628650"/>
    <xdr:sp>
      <xdr:nvSpPr>
        <xdr:cNvPr id="18" name="Shape 18"/>
        <xdr:cNvSpPr/>
      </xdr:nvSpPr>
      <xdr:spPr>
        <a:xfrm>
          <a:off x="4364925" y="3470438"/>
          <a:ext cx="1962150" cy="619125"/>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000" u="none" strike="noStrike">
              <a:solidFill>
                <a:srgbClr val="000000"/>
              </a:solidFill>
              <a:latin typeface="Arial"/>
              <a:ea typeface="Arial"/>
              <a:cs typeface="Arial"/>
              <a:sym typeface="Arial"/>
            </a:rPr>
            <a:t>If coefficients of high orders are statistically insignificant then re calculate with fewer orders.</a:t>
          </a:r>
          <a:endParaRPr sz="1400"/>
        </a:p>
      </xdr:txBody>
    </xdr:sp>
    <xdr:clientData fLocksWithSheet="0"/>
  </xdr:oneCellAnchor>
  <xdr:oneCellAnchor>
    <xdr:from>
      <xdr:col>7</xdr:col>
      <xdr:colOff>104775</xdr:colOff>
      <xdr:row>2</xdr:row>
      <xdr:rowOff>28575</xdr:rowOff>
    </xdr:from>
    <xdr:ext cx="1609725" cy="4095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400050</xdr:colOff>
      <xdr:row>2</xdr:row>
      <xdr:rowOff>28575</xdr:rowOff>
    </xdr:from>
    <xdr:ext cx="1743075" cy="409575"/>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oneCellAnchor>
    <xdr:from>
      <xdr:col>10</xdr:col>
      <xdr:colOff>247650</xdr:colOff>
      <xdr:row>5</xdr:row>
      <xdr:rowOff>76200</xdr:rowOff>
    </xdr:from>
    <xdr:ext cx="5048250" cy="219075"/>
    <xdr:pic>
      <xdr:nvPicPr>
        <xdr:cNvPr id="0" name="image6.png"/>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304800</xdr:colOff>
      <xdr:row>31</xdr:row>
      <xdr:rowOff>114300</xdr:rowOff>
    </xdr:from>
    <xdr:ext cx="1524000" cy="457200"/>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390525</xdr:colOff>
      <xdr:row>35</xdr:row>
      <xdr:rowOff>47625</xdr:rowOff>
    </xdr:from>
    <xdr:ext cx="1438275" cy="333375"/>
    <xdr:pic>
      <xdr:nvPicPr>
        <xdr:cNvPr id="0" name="image2.png"/>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19050</xdr:colOff>
      <xdr:row>38</xdr:row>
      <xdr:rowOff>76200</xdr:rowOff>
    </xdr:from>
    <xdr:ext cx="1133475" cy="247650"/>
    <xdr:pic>
      <xdr:nvPicPr>
        <xdr:cNvPr id="0" name="image5.png"/>
        <xdr:cNvPicPr preferRelativeResize="0"/>
      </xdr:nvPicPr>
      <xdr:blipFill>
        <a:blip cstate="print" r:embed="rId7"/>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7.xml"/><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8.xml"/><Relationship Id="rId3"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0"/>
  </cols>
  <sheetData>
    <row r="1" ht="12.0" customHeight="1"/>
    <row r="2" ht="12.0" customHeight="1"/>
    <row r="3" ht="12.0" customHeight="1"/>
    <row r="4" ht="12.0" customHeight="1"/>
    <row r="5" ht="12.0" customHeight="1"/>
    <row r="6" ht="12.0" customHeight="1"/>
    <row r="7" ht="12.0" customHeight="1"/>
    <row r="8" ht="12.0" customHeight="1"/>
    <row r="9" ht="12.0" customHeight="1"/>
    <row r="10" ht="12.0" customHeight="1"/>
    <row r="11" ht="12.0" customHeight="1"/>
    <row r="12" ht="12.0" customHeight="1"/>
    <row r="13" ht="12.0" customHeight="1"/>
    <row r="14" ht="12.0" customHeight="1"/>
    <row r="15" ht="12.0" customHeight="1"/>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25"/>
    <col customWidth="1" min="2" max="2" width="16.5"/>
    <col customWidth="1" min="3" max="3" width="9.13"/>
    <col customWidth="1" min="4" max="4" width="8.13"/>
    <col customWidth="1" min="5" max="5" width="7.0"/>
    <col customWidth="1" min="6" max="6" width="9.13"/>
    <col customWidth="1" min="7" max="7" width="7.5"/>
    <col customWidth="1" min="8" max="8" width="8.5"/>
    <col customWidth="1" min="9" max="9" width="8.75"/>
    <col customWidth="1" min="10" max="11" width="4.5"/>
    <col customWidth="1" min="12" max="12" width="6.5"/>
    <col customWidth="1" min="13" max="13" width="9.13"/>
    <col customWidth="1" min="14" max="14" width="9.88"/>
    <col customWidth="1" min="15" max="15" width="10.5"/>
    <col customWidth="1" min="16" max="21" width="9.13"/>
    <col customWidth="1" min="22" max="22" width="11.75"/>
    <col customWidth="1" min="23" max="23" width="12.5"/>
    <col customWidth="1" min="24" max="26" width="9.13"/>
  </cols>
  <sheetData>
    <row r="1" ht="12.75" customHeight="1">
      <c r="A1" s="1" t="s">
        <v>0</v>
      </c>
      <c r="B1" s="2"/>
      <c r="C1" s="2"/>
      <c r="D1" s="2"/>
      <c r="E1" s="2"/>
      <c r="F1" s="2"/>
      <c r="G1" s="2"/>
      <c r="H1" s="2"/>
      <c r="I1" s="2"/>
      <c r="J1" s="2"/>
      <c r="K1" s="2"/>
      <c r="L1" s="2"/>
      <c r="M1" s="2"/>
      <c r="N1" s="2"/>
      <c r="O1" s="2"/>
      <c r="P1" s="2"/>
      <c r="Q1" s="2"/>
      <c r="R1" s="2"/>
      <c r="S1" s="2"/>
      <c r="T1" s="2"/>
      <c r="U1" s="2"/>
      <c r="V1" s="2"/>
      <c r="W1" s="2"/>
      <c r="X1" s="2"/>
      <c r="Y1" s="2"/>
      <c r="Z1" s="2"/>
    </row>
    <row r="2" ht="12.0" customHeight="1">
      <c r="A2" s="2"/>
      <c r="B2" s="2"/>
      <c r="C2" s="2"/>
      <c r="D2" s="2"/>
      <c r="E2" s="2"/>
      <c r="F2" s="2"/>
      <c r="G2" s="2"/>
      <c r="H2" s="2"/>
      <c r="I2" s="2"/>
      <c r="J2" s="2"/>
      <c r="K2" s="2"/>
      <c r="L2" s="2"/>
      <c r="M2" s="2"/>
      <c r="N2" s="2"/>
      <c r="O2" s="2"/>
      <c r="P2" s="2"/>
      <c r="Q2" s="2"/>
      <c r="R2" s="2"/>
      <c r="S2" s="2"/>
      <c r="T2" s="2"/>
      <c r="U2" s="2"/>
      <c r="V2" s="2"/>
      <c r="W2" s="2"/>
      <c r="X2" s="2"/>
      <c r="Y2" s="2"/>
      <c r="Z2" s="2"/>
    </row>
    <row r="3" ht="12.0" customHeight="1">
      <c r="A3" s="3" t="s">
        <v>1</v>
      </c>
      <c r="B3" s="4" t="s">
        <v>2</v>
      </c>
      <c r="C3" s="2"/>
    </row>
    <row r="4" ht="12.0" customHeight="1">
      <c r="A4" s="5" t="s">
        <v>3</v>
      </c>
      <c r="B4" s="6">
        <v>282.324</v>
      </c>
      <c r="C4" s="2"/>
    </row>
    <row r="5" ht="12.0" customHeight="1">
      <c r="A5" s="3" t="s">
        <v>4</v>
      </c>
      <c r="B5" s="4">
        <v>80.3826</v>
      </c>
      <c r="C5" s="2"/>
    </row>
    <row r="6" ht="12.0" customHeight="1">
      <c r="A6" s="3" t="s">
        <v>5</v>
      </c>
      <c r="B6" s="4">
        <v>5.0</v>
      </c>
      <c r="C6" s="2"/>
    </row>
    <row r="7" ht="12.0" customHeight="1">
      <c r="A7" s="3" t="s">
        <v>6</v>
      </c>
      <c r="B7" s="3" t="s">
        <v>7</v>
      </c>
      <c r="C7" s="3" t="s">
        <v>8</v>
      </c>
      <c r="D7" s="3" t="s">
        <v>9</v>
      </c>
      <c r="E7" s="3" t="s">
        <v>10</v>
      </c>
      <c r="F7" s="3" t="s">
        <v>11</v>
      </c>
      <c r="G7" s="3" t="s">
        <v>12</v>
      </c>
      <c r="H7" s="3" t="s">
        <v>13</v>
      </c>
      <c r="I7" s="3" t="s">
        <v>14</v>
      </c>
    </row>
    <row r="8" ht="12.0" customHeight="1">
      <c r="A8" s="3"/>
      <c r="B8" s="4">
        <v>0.0</v>
      </c>
      <c r="C8" s="4">
        <v>0.0</v>
      </c>
      <c r="D8" s="4">
        <v>0.0</v>
      </c>
      <c r="E8" s="4">
        <v>0.0</v>
      </c>
      <c r="F8" s="4">
        <v>0.0</v>
      </c>
      <c r="G8" s="4">
        <v>0.0</v>
      </c>
      <c r="H8" s="4">
        <v>0.0</v>
      </c>
      <c r="I8" s="4">
        <v>0.0</v>
      </c>
    </row>
    <row r="9" ht="12.0" customHeight="1">
      <c r="A9" s="2"/>
      <c r="B9" s="7" t="s">
        <v>15</v>
      </c>
      <c r="C9" s="2"/>
    </row>
    <row r="10" ht="12.0" customHeight="1">
      <c r="A10" s="2"/>
      <c r="B10" s="2"/>
      <c r="C10" s="2"/>
    </row>
    <row r="11" ht="49.5" customHeight="1">
      <c r="A11" s="8" t="s">
        <v>16</v>
      </c>
      <c r="B11" s="3" t="s">
        <v>17</v>
      </c>
      <c r="C11" s="3" t="s">
        <v>18</v>
      </c>
      <c r="D11" s="3" t="s">
        <v>19</v>
      </c>
      <c r="E11" s="3" t="s">
        <v>20</v>
      </c>
      <c r="F11" s="3" t="s">
        <v>21</v>
      </c>
      <c r="G11" s="3" t="s">
        <v>22</v>
      </c>
      <c r="H11" s="3" t="s">
        <v>23</v>
      </c>
      <c r="I11" s="3" t="s">
        <v>24</v>
      </c>
      <c r="J11" s="3" t="s">
        <v>25</v>
      </c>
      <c r="K11" s="3" t="s">
        <v>26</v>
      </c>
      <c r="L11" s="3" t="s">
        <v>27</v>
      </c>
      <c r="M11" s="3" t="s">
        <v>28</v>
      </c>
    </row>
    <row r="12" ht="12.75" customHeight="1">
      <c r="A12" s="9">
        <v>1.0</v>
      </c>
      <c r="B12" s="2">
        <v>2.0</v>
      </c>
      <c r="C12" s="6">
        <f>AVERAGE(15.0863,15.0863)</f>
        <v>15.0863</v>
      </c>
      <c r="D12" s="10">
        <f t="shared" ref="D12:D27" si="1">C12*2*PI()/$B$6</f>
        <v>18.9580037</v>
      </c>
      <c r="E12" s="2">
        <f t="shared" ref="E12:E27" si="2">$B$8*COS(D12)+$C$8*SIN(D12)+$D$8*COS(2*D12)+$E$8*SIN(2*D12)+$F$8*COS(3*D12)+$G$8*SIN(3*D12)+$H$8*COS(4*D12)+$I$8*SIN(4*D12)</f>
        <v>0</v>
      </c>
      <c r="F12" s="11">
        <f t="shared" ref="F12:F27" si="3">C12-E12/1000</f>
        <v>15.0863</v>
      </c>
      <c r="G12" s="12">
        <v>26.6</v>
      </c>
      <c r="H12" s="12">
        <v>1005.8</v>
      </c>
      <c r="I12" s="12">
        <v>80.0</v>
      </c>
      <c r="J12" s="10">
        <f t="shared" ref="J12:J27" si="4">6.1078*EXP(((17.269*G12)/(237.3+G12)))</f>
        <v>34.82057866</v>
      </c>
      <c r="K12" s="10">
        <f t="shared" ref="K12:K27" si="5">J12*(I12/100)</f>
        <v>27.85646292</v>
      </c>
      <c r="L12" s="13">
        <f t="shared" ref="L12:L27" si="6">($B$4-(($B$5*H12)/(273.15+G12))+(11.27*K12)/(273.15+G12))*((10^-6)*F12)</f>
        <v>0.0002059357839</v>
      </c>
      <c r="M12" s="14">
        <f t="shared" ref="M12:M27" si="7">F12+L12</f>
        <v>15.08650594</v>
      </c>
    </row>
    <row r="13" ht="12.0" customHeight="1">
      <c r="A13" s="9">
        <v>1.0</v>
      </c>
      <c r="B13" s="2">
        <v>3.0</v>
      </c>
      <c r="C13" s="6">
        <f>AVERAGE(90.0091,90.009)</f>
        <v>90.00905</v>
      </c>
      <c r="D13" s="10">
        <f t="shared" si="1"/>
        <v>113.1087081</v>
      </c>
      <c r="E13" s="2">
        <f t="shared" si="2"/>
        <v>0</v>
      </c>
      <c r="F13" s="11">
        <f t="shared" si="3"/>
        <v>90.00905</v>
      </c>
      <c r="G13" s="12">
        <v>26.6</v>
      </c>
      <c r="H13" s="12">
        <v>1005.8</v>
      </c>
      <c r="I13" s="12">
        <v>80.0</v>
      </c>
      <c r="J13" s="10">
        <f t="shared" si="4"/>
        <v>34.82057866</v>
      </c>
      <c r="K13" s="10">
        <f t="shared" si="5"/>
        <v>27.85646292</v>
      </c>
      <c r="L13" s="13">
        <f t="shared" si="6"/>
        <v>0.001228670003</v>
      </c>
      <c r="M13" s="14">
        <f t="shared" si="7"/>
        <v>90.01027867</v>
      </c>
    </row>
    <row r="14" ht="12.0" customHeight="1">
      <c r="A14" s="9">
        <v>1.0</v>
      </c>
      <c r="B14" s="2">
        <v>6.0</v>
      </c>
      <c r="C14" s="6">
        <f>AVERAGE(495.0775,495.0774)</f>
        <v>495.07745</v>
      </c>
      <c r="D14" s="10">
        <f t="shared" si="1"/>
        <v>622.132672</v>
      </c>
      <c r="E14" s="2">
        <f t="shared" si="2"/>
        <v>0</v>
      </c>
      <c r="F14" s="11">
        <f t="shared" si="3"/>
        <v>495.07745</v>
      </c>
      <c r="G14" s="12">
        <v>26.6</v>
      </c>
      <c r="H14" s="12">
        <v>1005.8</v>
      </c>
      <c r="I14" s="12">
        <v>80.0</v>
      </c>
      <c r="J14" s="10">
        <f t="shared" si="4"/>
        <v>34.82057866</v>
      </c>
      <c r="K14" s="10">
        <f t="shared" si="5"/>
        <v>27.85646292</v>
      </c>
      <c r="L14" s="13">
        <f t="shared" si="6"/>
        <v>0.006758062795</v>
      </c>
      <c r="M14" s="14">
        <f t="shared" si="7"/>
        <v>495.0842081</v>
      </c>
    </row>
    <row r="15" ht="12.0" customHeight="1">
      <c r="A15" s="9">
        <v>1.0</v>
      </c>
      <c r="B15" s="2">
        <v>7.0</v>
      </c>
      <c r="C15" s="6">
        <f>AVERAGE(540.2217,540.2214)</f>
        <v>540.22155</v>
      </c>
      <c r="D15" s="10">
        <f t="shared" si="1"/>
        <v>678.8624211</v>
      </c>
      <c r="E15" s="2">
        <f t="shared" si="2"/>
        <v>0</v>
      </c>
      <c r="F15" s="11">
        <f t="shared" si="3"/>
        <v>540.22155</v>
      </c>
      <c r="G15" s="12">
        <v>25.95</v>
      </c>
      <c r="H15" s="12">
        <v>1004.25</v>
      </c>
      <c r="I15" s="12">
        <v>80.0</v>
      </c>
      <c r="J15" s="10">
        <f t="shared" si="4"/>
        <v>33.51077161</v>
      </c>
      <c r="K15" s="10">
        <f t="shared" si="5"/>
        <v>26.80861729</v>
      </c>
      <c r="L15" s="13">
        <f t="shared" si="6"/>
        <v>0.007262585116</v>
      </c>
      <c r="M15" s="14">
        <f t="shared" si="7"/>
        <v>540.2288126</v>
      </c>
    </row>
    <row r="16" ht="12.0" customHeight="1">
      <c r="A16" s="9">
        <v>1.0</v>
      </c>
      <c r="B16" s="2">
        <v>8.0</v>
      </c>
      <c r="C16" s="6">
        <f>AVERAGE(585.0589,585.0578)</f>
        <v>585.05835</v>
      </c>
      <c r="D16" s="10">
        <f t="shared" si="1"/>
        <v>735.2060057</v>
      </c>
      <c r="E16" s="2">
        <f t="shared" si="2"/>
        <v>0</v>
      </c>
      <c r="F16" s="11">
        <f t="shared" si="3"/>
        <v>585.05835</v>
      </c>
      <c r="G16" s="12">
        <v>25.4</v>
      </c>
      <c r="H16" s="12">
        <v>1004.25</v>
      </c>
      <c r="I16" s="12">
        <v>80.0</v>
      </c>
      <c r="J16" s="10">
        <f t="shared" si="4"/>
        <v>32.4362238</v>
      </c>
      <c r="K16" s="10">
        <f t="shared" si="5"/>
        <v>25.94897904</v>
      </c>
      <c r="L16" s="13">
        <f t="shared" si="6"/>
        <v>0.00755656925</v>
      </c>
      <c r="M16" s="14">
        <f t="shared" si="7"/>
        <v>585.0659066</v>
      </c>
    </row>
    <row r="17" ht="12.0" customHeight="1">
      <c r="A17" s="9">
        <v>2.0</v>
      </c>
      <c r="B17" s="2">
        <v>5.0</v>
      </c>
      <c r="C17" s="6">
        <f>AVERAGE(374.9416,374.9417)</f>
        <v>374.94165</v>
      </c>
      <c r="D17" s="10">
        <f t="shared" si="1"/>
        <v>471.1655733</v>
      </c>
      <c r="E17" s="2">
        <f t="shared" si="2"/>
        <v>0</v>
      </c>
      <c r="F17" s="11">
        <f t="shared" si="3"/>
        <v>374.94165</v>
      </c>
      <c r="G17" s="12">
        <v>25.8</v>
      </c>
      <c r="H17" s="12">
        <v>1005.8</v>
      </c>
      <c r="I17" s="12">
        <v>80.0</v>
      </c>
      <c r="J17" s="10">
        <f t="shared" si="4"/>
        <v>33.21468032</v>
      </c>
      <c r="K17" s="10">
        <f t="shared" si="5"/>
        <v>26.57174425</v>
      </c>
      <c r="L17" s="13">
        <f t="shared" si="6"/>
        <v>0.004830412693</v>
      </c>
      <c r="M17" s="14">
        <f t="shared" si="7"/>
        <v>374.9464804</v>
      </c>
    </row>
    <row r="18" ht="12.0" customHeight="1">
      <c r="A18" s="9">
        <v>2.0</v>
      </c>
      <c r="B18" s="2">
        <v>6.0</v>
      </c>
      <c r="C18" s="6">
        <v>479.9834</v>
      </c>
      <c r="D18" s="10">
        <f t="shared" si="1"/>
        <v>603.1649293</v>
      </c>
      <c r="E18" s="2">
        <f t="shared" si="2"/>
        <v>0</v>
      </c>
      <c r="F18" s="11">
        <f t="shared" si="3"/>
        <v>479.9834</v>
      </c>
      <c r="G18" s="12">
        <v>25.8</v>
      </c>
      <c r="H18" s="12">
        <v>1005.8</v>
      </c>
      <c r="I18" s="12">
        <v>80.0</v>
      </c>
      <c r="J18" s="10">
        <f t="shared" si="4"/>
        <v>33.21468032</v>
      </c>
      <c r="K18" s="10">
        <f t="shared" si="5"/>
        <v>26.57174425</v>
      </c>
      <c r="L18" s="13">
        <f t="shared" si="6"/>
        <v>0.006183676601</v>
      </c>
      <c r="M18" s="14">
        <f t="shared" si="7"/>
        <v>479.9895837</v>
      </c>
    </row>
    <row r="19" ht="12.0" customHeight="1">
      <c r="A19" s="9">
        <v>2.0</v>
      </c>
      <c r="B19" s="2">
        <v>7.0</v>
      </c>
      <c r="C19" s="6">
        <v>525.1415</v>
      </c>
      <c r="D19" s="10">
        <f t="shared" si="1"/>
        <v>659.9122714</v>
      </c>
      <c r="E19" s="2">
        <f t="shared" si="2"/>
        <v>0</v>
      </c>
      <c r="F19" s="11">
        <f t="shared" si="3"/>
        <v>525.1415</v>
      </c>
      <c r="G19" s="12">
        <v>25.8</v>
      </c>
      <c r="H19" s="12">
        <v>1005.8</v>
      </c>
      <c r="I19" s="12">
        <v>80.0</v>
      </c>
      <c r="J19" s="10">
        <f t="shared" si="4"/>
        <v>33.21468032</v>
      </c>
      <c r="K19" s="10">
        <f t="shared" si="5"/>
        <v>26.57174425</v>
      </c>
      <c r="L19" s="13">
        <f t="shared" si="6"/>
        <v>0.006765453151</v>
      </c>
      <c r="M19" s="14">
        <f t="shared" si="7"/>
        <v>525.1482655</v>
      </c>
    </row>
    <row r="20" ht="12.0" customHeight="1">
      <c r="A20" s="9">
        <v>3.0</v>
      </c>
      <c r="B20" s="2">
        <v>4.0</v>
      </c>
      <c r="C20" s="6">
        <f>AVERAGE(134.9905,134.9907)</f>
        <v>134.9906</v>
      </c>
      <c r="D20" s="10">
        <f t="shared" si="1"/>
        <v>169.6341909</v>
      </c>
      <c r="E20" s="2">
        <f t="shared" si="2"/>
        <v>0</v>
      </c>
      <c r="F20" s="11">
        <f t="shared" si="3"/>
        <v>134.9906</v>
      </c>
      <c r="G20" s="12">
        <v>25.7</v>
      </c>
      <c r="H20" s="12">
        <v>1005.9</v>
      </c>
      <c r="I20" s="12">
        <v>80.0</v>
      </c>
      <c r="J20" s="10">
        <f t="shared" si="4"/>
        <v>33.01855528</v>
      </c>
      <c r="K20" s="10">
        <f t="shared" si="5"/>
        <v>26.41484423</v>
      </c>
      <c r="L20" s="13">
        <f t="shared" si="6"/>
        <v>0.001722497832</v>
      </c>
      <c r="M20" s="14">
        <f t="shared" si="7"/>
        <v>134.9923225</v>
      </c>
      <c r="O20" s="2"/>
      <c r="P20" s="2"/>
      <c r="Q20" s="2"/>
      <c r="R20" s="2"/>
      <c r="S20" s="2"/>
      <c r="T20" s="2"/>
      <c r="U20" s="2"/>
      <c r="V20" s="2"/>
      <c r="W20" s="2"/>
      <c r="X20" s="2"/>
      <c r="Y20" s="2"/>
      <c r="Z20" s="2"/>
    </row>
    <row r="21" ht="12.0" customHeight="1">
      <c r="A21" s="9">
        <v>3.0</v>
      </c>
      <c r="B21" s="2">
        <v>5.0</v>
      </c>
      <c r="C21" s="6">
        <f>AVERAGE(300.0216,300.021)</f>
        <v>300.0213</v>
      </c>
      <c r="D21" s="10">
        <f t="shared" si="1"/>
        <v>377.0178848</v>
      </c>
      <c r="E21" s="2">
        <f t="shared" si="2"/>
        <v>0</v>
      </c>
      <c r="F21" s="11">
        <f t="shared" si="3"/>
        <v>300.0213</v>
      </c>
      <c r="G21" s="12">
        <v>25.6</v>
      </c>
      <c r="H21" s="12">
        <v>1005.9</v>
      </c>
      <c r="I21" s="12">
        <v>80.0</v>
      </c>
      <c r="J21" s="10">
        <f t="shared" si="4"/>
        <v>32.82344044</v>
      </c>
      <c r="K21" s="10">
        <f t="shared" si="5"/>
        <v>26.25875235</v>
      </c>
      <c r="L21" s="13">
        <f t="shared" si="6"/>
        <v>0.003799473558</v>
      </c>
      <c r="M21" s="14">
        <f t="shared" si="7"/>
        <v>300.0250995</v>
      </c>
      <c r="O21" s="2"/>
      <c r="P21" s="2"/>
      <c r="Q21" s="2"/>
      <c r="R21" s="2"/>
      <c r="S21" s="2"/>
      <c r="T21" s="2"/>
      <c r="U21" s="2"/>
      <c r="V21" s="2"/>
      <c r="W21" s="2"/>
      <c r="X21" s="2"/>
      <c r="Y21" s="2"/>
      <c r="Z21" s="2"/>
    </row>
    <row r="22" ht="12.0" customHeight="1">
      <c r="A22" s="9">
        <v>3.0</v>
      </c>
      <c r="B22" s="2">
        <v>7.0</v>
      </c>
      <c r="C22" s="6">
        <f>AVERAGE(450.2469,450.2468)</f>
        <v>450.24685</v>
      </c>
      <c r="D22" s="10">
        <f t="shared" si="1"/>
        <v>565.7968785</v>
      </c>
      <c r="E22" s="2">
        <f t="shared" si="2"/>
        <v>0</v>
      </c>
      <c r="F22" s="11">
        <f t="shared" si="3"/>
        <v>450.24685</v>
      </c>
      <c r="G22" s="12">
        <v>25.7</v>
      </c>
      <c r="H22" s="12">
        <v>1005.9</v>
      </c>
      <c r="I22" s="12">
        <v>80.0</v>
      </c>
      <c r="J22" s="10">
        <f t="shared" si="4"/>
        <v>33.01855528</v>
      </c>
      <c r="K22" s="10">
        <f t="shared" si="5"/>
        <v>26.41484423</v>
      </c>
      <c r="L22" s="13">
        <f t="shared" si="6"/>
        <v>0.005745209097</v>
      </c>
      <c r="M22" s="14">
        <f t="shared" si="7"/>
        <v>450.2525952</v>
      </c>
      <c r="O22" s="2"/>
      <c r="P22" s="2"/>
      <c r="Q22" s="2"/>
      <c r="R22" s="2"/>
      <c r="S22" s="2"/>
      <c r="T22" s="2"/>
      <c r="U22" s="2"/>
      <c r="V22" s="2"/>
      <c r="W22" s="2"/>
      <c r="X22" s="2"/>
      <c r="Y22" s="2"/>
      <c r="Z22" s="2"/>
    </row>
    <row r="23" ht="12.0" customHeight="1">
      <c r="A23" s="9">
        <v>3.0</v>
      </c>
      <c r="B23" s="2">
        <v>8.0</v>
      </c>
      <c r="C23" s="6">
        <f>AVERAGE(495.1042,495.1042)</f>
        <v>495.1042</v>
      </c>
      <c r="D23" s="10">
        <f t="shared" si="1"/>
        <v>622.166287</v>
      </c>
      <c r="E23" s="2">
        <f t="shared" si="2"/>
        <v>0</v>
      </c>
      <c r="F23" s="11">
        <f t="shared" si="3"/>
        <v>495.1042</v>
      </c>
      <c r="G23" s="12">
        <v>25.5</v>
      </c>
      <c r="H23" s="12">
        <v>1005.8</v>
      </c>
      <c r="I23" s="12">
        <v>80.0</v>
      </c>
      <c r="J23" s="10">
        <f t="shared" si="4"/>
        <v>32.6293314</v>
      </c>
      <c r="K23" s="10">
        <f t="shared" si="5"/>
        <v>26.10346512</v>
      </c>
      <c r="L23" s="13">
        <f t="shared" si="6"/>
        <v>0.006235726031</v>
      </c>
      <c r="M23" s="14">
        <f t="shared" si="7"/>
        <v>495.1104357</v>
      </c>
      <c r="O23" s="2"/>
      <c r="P23" s="2"/>
      <c r="Q23" s="2"/>
      <c r="R23" s="2"/>
      <c r="S23" s="2"/>
      <c r="T23" s="2"/>
      <c r="U23" s="2"/>
      <c r="V23" s="2"/>
      <c r="W23" s="2"/>
      <c r="X23" s="2"/>
      <c r="Y23" s="2"/>
      <c r="Z23" s="2"/>
    </row>
    <row r="24" ht="12.0" customHeight="1">
      <c r="A24" s="9">
        <v>5.0</v>
      </c>
      <c r="B24" s="2">
        <v>6.0</v>
      </c>
      <c r="C24" s="6">
        <f>AVERAGE(105.0834,105.0834)</f>
        <v>105.0834</v>
      </c>
      <c r="D24" s="10">
        <f t="shared" si="1"/>
        <v>132.051695</v>
      </c>
      <c r="E24" s="2">
        <f t="shared" si="2"/>
        <v>0</v>
      </c>
      <c r="F24" s="11">
        <f t="shared" si="3"/>
        <v>105.0834</v>
      </c>
      <c r="G24" s="12">
        <v>25.8</v>
      </c>
      <c r="H24" s="12">
        <v>1005.8</v>
      </c>
      <c r="I24" s="12">
        <v>80.0</v>
      </c>
      <c r="J24" s="10">
        <f t="shared" si="4"/>
        <v>33.21468032</v>
      </c>
      <c r="K24" s="10">
        <f t="shared" si="5"/>
        <v>26.57174425</v>
      </c>
      <c r="L24" s="13">
        <f t="shared" si="6"/>
        <v>0.001353800489</v>
      </c>
      <c r="M24" s="14">
        <f t="shared" si="7"/>
        <v>105.0847538</v>
      </c>
      <c r="O24" s="2"/>
      <c r="P24" s="2"/>
      <c r="Q24" s="2"/>
      <c r="R24" s="2"/>
      <c r="S24" s="2"/>
      <c r="T24" s="2"/>
      <c r="U24" s="2"/>
      <c r="V24" s="2"/>
      <c r="W24" s="2"/>
      <c r="X24" s="2"/>
      <c r="Y24" s="2"/>
      <c r="Z24" s="2"/>
    </row>
    <row r="25" ht="12.0" customHeight="1">
      <c r="A25" s="9">
        <v>5.0</v>
      </c>
      <c r="B25" s="2">
        <v>7.0</v>
      </c>
      <c r="C25" s="6">
        <f>AVERAGE(150.4094,150.4092)</f>
        <v>150.4093</v>
      </c>
      <c r="D25" s="10">
        <f t="shared" si="1"/>
        <v>189.0099008</v>
      </c>
      <c r="E25" s="2">
        <f t="shared" si="2"/>
        <v>0</v>
      </c>
      <c r="F25" s="11">
        <f t="shared" si="3"/>
        <v>150.4093</v>
      </c>
      <c r="G25" s="12">
        <v>25.8</v>
      </c>
      <c r="H25" s="12">
        <v>1005.8</v>
      </c>
      <c r="I25" s="12">
        <v>80.0</v>
      </c>
      <c r="J25" s="10">
        <f t="shared" si="4"/>
        <v>33.21468032</v>
      </c>
      <c r="K25" s="10">
        <f t="shared" si="5"/>
        <v>26.57174425</v>
      </c>
      <c r="L25" s="13">
        <f t="shared" si="6"/>
        <v>0.001937738824</v>
      </c>
      <c r="M25" s="14">
        <f t="shared" si="7"/>
        <v>150.4112377</v>
      </c>
      <c r="O25" s="2"/>
      <c r="P25" s="2"/>
      <c r="Q25" s="2"/>
      <c r="R25" s="2"/>
      <c r="S25" s="2"/>
      <c r="T25" s="2"/>
      <c r="U25" s="2"/>
      <c r="V25" s="2"/>
      <c r="W25" s="2"/>
      <c r="X25" s="2"/>
      <c r="Y25" s="2"/>
      <c r="Z25" s="2"/>
    </row>
    <row r="26" ht="12.0" customHeight="1">
      <c r="A26" s="9">
        <v>5.0</v>
      </c>
      <c r="B26" s="2">
        <v>8.0</v>
      </c>
      <c r="C26" s="6">
        <f>AVERAGE(195.3763,195.376)</f>
        <v>195.37615</v>
      </c>
      <c r="D26" s="10">
        <f t="shared" si="1"/>
        <v>245.516911</v>
      </c>
      <c r="E26" s="2">
        <f t="shared" si="2"/>
        <v>0</v>
      </c>
      <c r="F26" s="11">
        <f t="shared" si="3"/>
        <v>195.37615</v>
      </c>
      <c r="G26" s="12">
        <v>25.8</v>
      </c>
      <c r="H26" s="12">
        <v>1005.8</v>
      </c>
      <c r="I26" s="12">
        <v>80.0</v>
      </c>
      <c r="J26" s="10">
        <f t="shared" si="4"/>
        <v>33.21468032</v>
      </c>
      <c r="K26" s="10">
        <f t="shared" si="5"/>
        <v>26.57174425</v>
      </c>
      <c r="L26" s="13">
        <f t="shared" si="6"/>
        <v>0.00251705148</v>
      </c>
      <c r="M26" s="14">
        <f t="shared" si="7"/>
        <v>195.3786671</v>
      </c>
      <c r="O26" s="2"/>
      <c r="P26" s="2"/>
      <c r="Q26" s="2"/>
      <c r="R26" s="2"/>
      <c r="S26" s="2"/>
      <c r="T26" s="2"/>
      <c r="U26" s="2"/>
      <c r="V26" s="2"/>
      <c r="W26" s="2"/>
      <c r="X26" s="2"/>
      <c r="Y26" s="2"/>
      <c r="Z26" s="2"/>
    </row>
    <row r="27" ht="12.0" customHeight="1">
      <c r="A27" s="9">
        <v>7.0</v>
      </c>
      <c r="B27" s="2">
        <v>8.0</v>
      </c>
      <c r="C27" s="6">
        <f>AVERAGE(44.9991,44.999)</f>
        <v>44.99905</v>
      </c>
      <c r="D27" s="10">
        <f t="shared" si="1"/>
        <v>56.54747396</v>
      </c>
      <c r="E27" s="2">
        <f t="shared" si="2"/>
        <v>0</v>
      </c>
      <c r="F27" s="11">
        <f t="shared" si="3"/>
        <v>44.99905</v>
      </c>
      <c r="G27" s="12">
        <v>24.5</v>
      </c>
      <c r="H27" s="12">
        <v>1003.7</v>
      </c>
      <c r="I27" s="12">
        <v>80.0</v>
      </c>
      <c r="J27" s="10">
        <f t="shared" si="4"/>
        <v>30.74260663</v>
      </c>
      <c r="K27" s="10">
        <f t="shared" si="5"/>
        <v>24.5940853</v>
      </c>
      <c r="L27" s="13">
        <f t="shared" si="6"/>
        <v>0.0005489231484</v>
      </c>
      <c r="M27" s="14">
        <f t="shared" si="7"/>
        <v>44.99959892</v>
      </c>
      <c r="N27" s="2"/>
      <c r="O27" s="2"/>
      <c r="P27" s="2"/>
      <c r="Q27" s="2"/>
      <c r="R27" s="2"/>
      <c r="S27" s="2"/>
      <c r="T27" s="2"/>
      <c r="U27" s="2"/>
      <c r="V27" s="2"/>
      <c r="W27" s="2"/>
      <c r="X27" s="2"/>
      <c r="Y27" s="2"/>
      <c r="Z27" s="2"/>
    </row>
    <row r="28" ht="12.0"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2.0"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2.0"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2.0"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2.0"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2.0"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2.0" customHeight="1">
      <c r="A34" s="2"/>
      <c r="B34" s="2"/>
      <c r="C34" s="2"/>
      <c r="D34" s="2"/>
      <c r="F34" s="2"/>
      <c r="G34" s="2"/>
      <c r="H34" s="2"/>
      <c r="I34" s="2"/>
      <c r="J34" s="2"/>
      <c r="K34" s="2"/>
      <c r="L34" s="2"/>
      <c r="M34" s="2"/>
      <c r="N34" s="2"/>
      <c r="O34" s="2"/>
      <c r="P34" s="2"/>
      <c r="Q34" s="2"/>
      <c r="R34" s="2"/>
      <c r="S34" s="2"/>
      <c r="T34" s="2"/>
      <c r="U34" s="2"/>
      <c r="V34" s="2"/>
      <c r="W34" s="2"/>
      <c r="X34" s="2"/>
      <c r="Y34" s="2"/>
      <c r="Z34" s="2"/>
    </row>
    <row r="35" ht="12.0"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2.0" customHeight="1">
      <c r="A36" s="2"/>
      <c r="B36" s="2"/>
      <c r="C36" s="2"/>
      <c r="I36" s="2"/>
      <c r="J36" s="2"/>
      <c r="K36" s="2"/>
      <c r="L36" s="2"/>
      <c r="M36" s="2"/>
      <c r="N36" s="2"/>
      <c r="O36" s="2"/>
      <c r="P36" s="2"/>
      <c r="Q36" s="2"/>
      <c r="R36" s="2"/>
      <c r="S36" s="2"/>
      <c r="T36" s="2"/>
      <c r="U36" s="2"/>
      <c r="V36" s="2"/>
      <c r="W36" s="2"/>
      <c r="X36" s="2"/>
      <c r="Y36" s="2"/>
      <c r="Z36" s="2"/>
    </row>
    <row r="37" ht="12.0" customHeight="1">
      <c r="A37" s="2" t="s">
        <v>29</v>
      </c>
      <c r="B37" s="2"/>
      <c r="C37" s="2"/>
      <c r="I37" s="2"/>
      <c r="J37" s="2"/>
      <c r="K37" s="2"/>
      <c r="L37" s="2"/>
      <c r="M37" s="2"/>
      <c r="N37" s="2"/>
      <c r="O37" s="2"/>
      <c r="P37" s="2"/>
      <c r="Q37" s="2"/>
      <c r="R37" s="2"/>
      <c r="S37" s="2"/>
      <c r="T37" s="2"/>
      <c r="U37" s="2"/>
      <c r="V37" s="2"/>
      <c r="W37" s="2"/>
      <c r="X37" s="2"/>
      <c r="Y37" s="2"/>
      <c r="Z37" s="2"/>
    </row>
    <row r="38" ht="12.0" customHeight="1">
      <c r="A38" s="3" t="s">
        <v>1</v>
      </c>
      <c r="B38" s="4" t="s">
        <v>2</v>
      </c>
      <c r="C38" s="2"/>
      <c r="I38" s="2"/>
      <c r="J38" s="2"/>
      <c r="K38" s="2"/>
      <c r="L38" s="2"/>
      <c r="M38" s="2"/>
      <c r="N38" s="2"/>
      <c r="O38" s="2"/>
      <c r="P38" s="2"/>
      <c r="Q38" s="2"/>
      <c r="R38" s="2"/>
      <c r="S38" s="2"/>
      <c r="T38" s="2"/>
      <c r="U38" s="2"/>
      <c r="V38" s="2"/>
      <c r="W38" s="2"/>
      <c r="X38" s="2"/>
      <c r="Y38" s="2"/>
      <c r="Z38" s="2"/>
    </row>
    <row r="39" ht="12.0" customHeight="1">
      <c r="A39" s="5" t="s">
        <v>3</v>
      </c>
      <c r="B39" s="6">
        <v>282.324</v>
      </c>
      <c r="C39" s="2"/>
      <c r="I39" s="2"/>
      <c r="J39" s="2"/>
      <c r="K39" s="2"/>
      <c r="L39" s="2"/>
      <c r="M39" s="2"/>
      <c r="N39" s="2"/>
      <c r="O39" s="2"/>
      <c r="P39" s="2"/>
      <c r="Q39" s="2"/>
      <c r="R39" s="2"/>
      <c r="S39" s="2"/>
      <c r="T39" s="2"/>
      <c r="U39" s="2"/>
      <c r="V39" s="2"/>
      <c r="W39" s="2"/>
      <c r="X39" s="2"/>
      <c r="Y39" s="2"/>
      <c r="Z39" s="2"/>
    </row>
    <row r="40" ht="12.0" customHeight="1">
      <c r="A40" s="3" t="s">
        <v>4</v>
      </c>
      <c r="B40" s="4">
        <v>80.3826</v>
      </c>
      <c r="C40" s="2"/>
      <c r="I40" s="2"/>
      <c r="J40" s="2"/>
      <c r="K40" s="2"/>
      <c r="L40" s="2"/>
      <c r="M40" s="2"/>
      <c r="N40" s="2"/>
      <c r="O40" s="2"/>
      <c r="P40" s="2"/>
      <c r="Q40" s="2"/>
      <c r="R40" s="2"/>
      <c r="S40" s="2"/>
      <c r="T40" s="2"/>
      <c r="U40" s="2"/>
      <c r="V40" s="2"/>
      <c r="W40" s="2"/>
      <c r="X40" s="2"/>
      <c r="Y40" s="2"/>
      <c r="Z40" s="2"/>
    </row>
    <row r="41" ht="12.0" customHeight="1">
      <c r="A41" s="3" t="s">
        <v>5</v>
      </c>
      <c r="B41" s="4">
        <v>5.0</v>
      </c>
      <c r="C41" s="2"/>
      <c r="I41" s="2"/>
      <c r="J41" s="2"/>
      <c r="K41" s="2"/>
      <c r="L41" s="2"/>
      <c r="M41" s="2"/>
      <c r="N41" s="2"/>
      <c r="O41" s="2"/>
      <c r="P41" s="2"/>
      <c r="Q41" s="2"/>
      <c r="R41" s="2"/>
      <c r="S41" s="2"/>
      <c r="T41" s="2"/>
      <c r="U41" s="2"/>
      <c r="V41" s="2"/>
      <c r="W41" s="2"/>
      <c r="X41" s="2"/>
      <c r="Y41" s="2"/>
      <c r="Z41" s="2"/>
    </row>
    <row r="42" ht="12.0" customHeight="1">
      <c r="A42" s="2"/>
      <c r="B42" s="2"/>
      <c r="C42" s="2"/>
      <c r="I42" s="2"/>
      <c r="J42" s="2"/>
      <c r="K42" s="2"/>
      <c r="L42" s="2"/>
      <c r="M42" s="2"/>
      <c r="N42" s="2"/>
      <c r="O42" s="2"/>
      <c r="P42" s="2"/>
      <c r="Q42" s="2"/>
      <c r="R42" s="2"/>
      <c r="S42" s="2"/>
      <c r="T42" s="2"/>
      <c r="U42" s="2"/>
      <c r="V42" s="2"/>
      <c r="W42" s="2"/>
      <c r="X42" s="2"/>
      <c r="Y42" s="2"/>
      <c r="Z42" s="2"/>
    </row>
    <row r="43" ht="12.0" customHeight="1">
      <c r="A43" s="2" t="s">
        <v>30</v>
      </c>
      <c r="B43" s="2"/>
      <c r="C43" s="2"/>
      <c r="I43" s="2"/>
      <c r="J43" s="2"/>
      <c r="K43" s="2"/>
      <c r="L43" s="2"/>
      <c r="M43" s="2"/>
      <c r="N43" s="2"/>
      <c r="O43" s="2"/>
      <c r="P43" s="2"/>
      <c r="Q43" s="2"/>
      <c r="R43" s="2"/>
      <c r="S43" s="2"/>
      <c r="T43" s="2"/>
      <c r="U43" s="2"/>
      <c r="V43" s="2"/>
      <c r="W43" s="2"/>
      <c r="X43" s="2"/>
      <c r="Y43" s="2"/>
      <c r="Z43" s="2"/>
    </row>
    <row r="44" ht="12.0" customHeight="1">
      <c r="A44" s="2"/>
      <c r="B44" s="2"/>
      <c r="C44" s="2"/>
      <c r="I44" s="2"/>
      <c r="J44" s="2"/>
      <c r="K44" s="2"/>
      <c r="L44" s="2"/>
      <c r="M44" s="2"/>
      <c r="N44" s="2"/>
      <c r="O44" s="2"/>
      <c r="P44" s="2"/>
      <c r="Q44" s="2"/>
      <c r="R44" s="2"/>
      <c r="S44" s="2"/>
      <c r="T44" s="2"/>
      <c r="U44" s="2"/>
      <c r="V44" s="2"/>
      <c r="W44" s="2"/>
      <c r="X44" s="2"/>
      <c r="Y44" s="2"/>
      <c r="Z44" s="2"/>
    </row>
    <row r="45" ht="12.0"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2.0"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2.0"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2.0"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2.0"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2.0"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2.0"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2.0"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2.0"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2.0"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2.0"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2.0"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2.0"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2.0"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2.0"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2.0"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2.0"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2.0"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2.0"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2.0"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2.0"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2.0"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2.0"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2.0"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2.0"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2.0"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2.0"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2.0"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2.0"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2.0"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2.0"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2.0"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2.0"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2.0"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2.0"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2.0"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2.0"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2.0"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2.0"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2.0"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2.0"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2.0"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2.0"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2.0"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2.0"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2.0"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2.0"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2.0"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2.0"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2.0"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2.0"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2.0"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2.0"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2.0"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2.0"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2.0"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0"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0"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0"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0"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0"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0"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0"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0"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0"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0"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0"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0"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0"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0"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0"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0"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0"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0"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0"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0"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0"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0"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0"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0"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D34:E34"/>
  </mergeCells>
  <printOptions/>
  <pageMargins bottom="0.75" footer="0.0" header="0.0" left="0.7" right="0.7" top="0.75"/>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25"/>
    <col customWidth="1" min="2" max="2" width="6.0"/>
    <col customWidth="1" min="3" max="3" width="9.0"/>
    <col customWidth="1" min="4" max="4" width="7.5"/>
    <col customWidth="1" min="5" max="5" width="8.0"/>
    <col customWidth="1" min="6" max="6" width="7.5"/>
    <col customWidth="1" min="7" max="7" width="6.5"/>
    <col customWidth="1" min="8" max="8" width="7.5"/>
    <col customWidth="1" min="9" max="9" width="8.13"/>
    <col customWidth="1" min="10" max="11" width="7.13"/>
    <col customWidth="1" min="12" max="12" width="8.0"/>
    <col customWidth="1" min="13" max="13" width="7.13"/>
    <col customWidth="1" min="14" max="26" width="8.0"/>
  </cols>
  <sheetData>
    <row r="1" ht="12.75" customHeight="1">
      <c r="B1" s="15" t="s">
        <v>31</v>
      </c>
    </row>
    <row r="2" ht="12.75" customHeight="1">
      <c r="B2" s="15"/>
    </row>
    <row r="3" ht="12.0" customHeight="1">
      <c r="B3" s="16" t="s">
        <v>32</v>
      </c>
    </row>
    <row r="4" ht="12.0" customHeight="1">
      <c r="B4" s="16" t="s">
        <v>33</v>
      </c>
    </row>
    <row r="5" ht="12.0" customHeight="1">
      <c r="B5" s="16" t="s">
        <v>34</v>
      </c>
    </row>
    <row r="6" ht="12.0" customHeight="1">
      <c r="B6" s="16" t="s">
        <v>35</v>
      </c>
    </row>
    <row r="7" ht="12.0" customHeight="1">
      <c r="B7" s="16" t="s">
        <v>36</v>
      </c>
    </row>
    <row r="8" ht="12.0" customHeight="1">
      <c r="B8" s="17" t="s">
        <v>37</v>
      </c>
    </row>
    <row r="9" ht="12.0" customHeight="1"/>
    <row r="10" ht="12.0" customHeight="1">
      <c r="B10" s="17" t="s">
        <v>38</v>
      </c>
    </row>
    <row r="11" ht="12.0" customHeight="1">
      <c r="B11" s="17" t="s">
        <v>39</v>
      </c>
    </row>
    <row r="12" ht="12.0" customHeight="1">
      <c r="B12" s="17"/>
    </row>
    <row r="13" ht="12.0" customHeight="1"/>
    <row r="14" ht="12.0" customHeight="1">
      <c r="B14" s="16" t="s">
        <v>40</v>
      </c>
      <c r="C14" s="6">
        <v>6370100.0</v>
      </c>
      <c r="D14" s="18"/>
      <c r="E14" s="16" t="s">
        <v>41</v>
      </c>
      <c r="F14" s="19">
        <v>27.239</v>
      </c>
    </row>
    <row r="15" ht="12.0" customHeight="1"/>
    <row r="16" ht="12.0" customHeight="1">
      <c r="A16" s="17" t="s">
        <v>16</v>
      </c>
      <c r="B16" s="20" t="s">
        <v>42</v>
      </c>
      <c r="C16" s="20" t="s">
        <v>43</v>
      </c>
      <c r="D16" s="20" t="s">
        <v>44</v>
      </c>
      <c r="E16" s="20" t="s">
        <v>45</v>
      </c>
      <c r="F16" s="20" t="s">
        <v>46</v>
      </c>
      <c r="G16" s="20" t="s">
        <v>47</v>
      </c>
      <c r="H16" s="20" t="s">
        <v>48</v>
      </c>
      <c r="I16" s="20" t="s">
        <v>49</v>
      </c>
      <c r="J16" s="20" t="s">
        <v>50</v>
      </c>
      <c r="K16" s="20" t="s">
        <v>51</v>
      </c>
      <c r="L16" s="20" t="s">
        <v>52</v>
      </c>
      <c r="M16" s="20"/>
    </row>
    <row r="17" ht="12.0" customHeight="1">
      <c r="A17" s="9">
        <v>1.0</v>
      </c>
      <c r="B17" s="2">
        <v>2.0</v>
      </c>
      <c r="C17" s="19">
        <f>'Data Corrections'!M12</f>
        <v>15.08650594</v>
      </c>
      <c r="D17" s="19">
        <v>27.239</v>
      </c>
      <c r="E17" s="21">
        <v>1.6</v>
      </c>
      <c r="F17" s="19">
        <v>27.195</v>
      </c>
      <c r="G17" s="21">
        <v>1.67</v>
      </c>
      <c r="H17" s="22">
        <f t="shared" ref="H17:H32" si="1">(E17+D17+G17+F17)/2</f>
        <v>28.852</v>
      </c>
      <c r="I17" s="22">
        <f t="shared" ref="I17:I32" si="2">E17+D17-G17-F17</f>
        <v>-0.026</v>
      </c>
      <c r="J17" s="22">
        <f t="shared" ref="J17:J32" si="3">-(I17*I17)/(2*C17)-(I17^4)/(8*C17^3)-(I17^6)/(16*C17^5)</f>
        <v>-0.00002240414397</v>
      </c>
      <c r="K17" s="22">
        <f t="shared" ref="K17:K32" si="4">-H17/$C$14*(J17+C17)</f>
        <v>-0.0000683309874</v>
      </c>
      <c r="L17" s="23">
        <f t="shared" ref="L17:L32" si="5">(C17+J17+K17)*(1+$F$14/$C$14)</f>
        <v>15.08647971</v>
      </c>
      <c r="M17" s="22"/>
    </row>
    <row r="18" ht="12.0" customHeight="1">
      <c r="A18" s="9">
        <v>1.0</v>
      </c>
      <c r="B18" s="2">
        <v>3.0</v>
      </c>
      <c r="C18" s="19">
        <f>'Data Corrections'!M13</f>
        <v>90.01027867</v>
      </c>
      <c r="D18" s="19">
        <v>27.239</v>
      </c>
      <c r="E18" s="21">
        <v>1.6</v>
      </c>
      <c r="F18" s="19">
        <v>27.482</v>
      </c>
      <c r="G18" s="6">
        <v>1.738</v>
      </c>
      <c r="H18" s="22">
        <f t="shared" si="1"/>
        <v>29.0295</v>
      </c>
      <c r="I18" s="22">
        <f t="shared" si="2"/>
        <v>-0.381</v>
      </c>
      <c r="J18" s="22">
        <f t="shared" si="3"/>
        <v>-0.0008063615198</v>
      </c>
      <c r="K18" s="22">
        <f t="shared" si="4"/>
        <v>-0.0004101866496</v>
      </c>
      <c r="L18" s="23">
        <f t="shared" si="5"/>
        <v>90.00944701</v>
      </c>
      <c r="M18" s="22"/>
    </row>
    <row r="19" ht="12.0" customHeight="1">
      <c r="A19" s="9">
        <v>1.0</v>
      </c>
      <c r="B19" s="2">
        <v>6.0</v>
      </c>
      <c r="C19" s="19">
        <f>'Data Corrections'!M14</f>
        <v>495.0842081</v>
      </c>
      <c r="D19" s="19">
        <v>27.239</v>
      </c>
      <c r="E19" s="21">
        <v>1.6</v>
      </c>
      <c r="F19" s="19">
        <v>35.958</v>
      </c>
      <c r="G19" s="21">
        <v>1.746</v>
      </c>
      <c r="H19" s="22">
        <f t="shared" si="1"/>
        <v>33.2715</v>
      </c>
      <c r="I19" s="22">
        <f t="shared" si="2"/>
        <v>-8.865</v>
      </c>
      <c r="J19" s="22">
        <f t="shared" si="3"/>
        <v>-0.07937490643</v>
      </c>
      <c r="K19" s="22">
        <f t="shared" si="4"/>
        <v>-0.002585446587</v>
      </c>
      <c r="L19" s="23">
        <f t="shared" si="5"/>
        <v>495.0043644</v>
      </c>
    </row>
    <row r="20" ht="12.0" customHeight="1">
      <c r="A20" s="9">
        <v>1.0</v>
      </c>
      <c r="B20" s="2">
        <v>7.0</v>
      </c>
      <c r="C20" s="19">
        <f>'Data Corrections'!M15</f>
        <v>540.2288126</v>
      </c>
      <c r="D20" s="19">
        <v>27.239</v>
      </c>
      <c r="E20" s="21">
        <v>1.6</v>
      </c>
      <c r="F20" s="19">
        <v>43.1</v>
      </c>
      <c r="G20" s="6">
        <v>1.629</v>
      </c>
      <c r="H20" s="22">
        <f t="shared" si="1"/>
        <v>36.784</v>
      </c>
      <c r="I20" s="22">
        <f t="shared" si="2"/>
        <v>-15.89</v>
      </c>
      <c r="J20" s="22">
        <f t="shared" si="3"/>
        <v>-0.2337405269</v>
      </c>
      <c r="K20" s="22">
        <f t="shared" si="4"/>
        <v>-0.003118189468</v>
      </c>
      <c r="L20" s="23">
        <f t="shared" si="5"/>
        <v>539.9942629</v>
      </c>
    </row>
    <row r="21" ht="12.0" customHeight="1">
      <c r="A21" s="9">
        <v>1.0</v>
      </c>
      <c r="B21" s="2">
        <v>8.0</v>
      </c>
      <c r="C21" s="19">
        <f>'Data Corrections'!M16</f>
        <v>585.0659066</v>
      </c>
      <c r="D21" s="19">
        <v>27.239</v>
      </c>
      <c r="E21" s="21">
        <v>1.6</v>
      </c>
      <c r="F21" s="19">
        <v>48.497</v>
      </c>
      <c r="G21" s="21">
        <v>1.56</v>
      </c>
      <c r="H21" s="22">
        <f t="shared" si="1"/>
        <v>39.448</v>
      </c>
      <c r="I21" s="22">
        <f t="shared" si="2"/>
        <v>-21.218</v>
      </c>
      <c r="J21" s="22">
        <f t="shared" si="3"/>
        <v>-0.3848725808</v>
      </c>
      <c r="K21" s="22">
        <f t="shared" si="4"/>
        <v>-0.003620743384</v>
      </c>
      <c r="L21" s="23">
        <f t="shared" si="5"/>
        <v>584.6799134</v>
      </c>
    </row>
    <row r="22" ht="12.0" customHeight="1">
      <c r="A22" s="9">
        <v>2.0</v>
      </c>
      <c r="B22" s="2">
        <v>5.0</v>
      </c>
      <c r="C22" s="19">
        <f>'Data Corrections'!M17</f>
        <v>374.9464804</v>
      </c>
      <c r="D22" s="19">
        <v>27.195</v>
      </c>
      <c r="E22" s="21">
        <v>1.67</v>
      </c>
      <c r="F22" s="19">
        <v>31.844</v>
      </c>
      <c r="G22" s="6">
        <v>1.648</v>
      </c>
      <c r="H22" s="22">
        <f t="shared" si="1"/>
        <v>31.1785</v>
      </c>
      <c r="I22" s="22">
        <f t="shared" si="2"/>
        <v>-4.627</v>
      </c>
      <c r="J22" s="22">
        <f t="shared" si="3"/>
        <v>-0.02855066691</v>
      </c>
      <c r="K22" s="22">
        <f t="shared" si="4"/>
        <v>-0.001835038488</v>
      </c>
      <c r="L22" s="23">
        <f t="shared" si="5"/>
        <v>374.9176979</v>
      </c>
    </row>
    <row r="23" ht="12.0" customHeight="1">
      <c r="A23" s="9">
        <v>2.0</v>
      </c>
      <c r="B23" s="2">
        <v>6.0</v>
      </c>
      <c r="C23" s="19">
        <f>'Data Corrections'!M18</f>
        <v>479.9895837</v>
      </c>
      <c r="D23" s="19">
        <v>27.195</v>
      </c>
      <c r="E23" s="21">
        <v>1.67</v>
      </c>
      <c r="F23" s="19">
        <v>35.958</v>
      </c>
      <c r="G23" s="6">
        <v>1.746</v>
      </c>
      <c r="H23" s="22">
        <f t="shared" si="1"/>
        <v>33.2845</v>
      </c>
      <c r="I23" s="22">
        <f t="shared" si="2"/>
        <v>-8.839</v>
      </c>
      <c r="J23" s="22">
        <f t="shared" si="3"/>
        <v>-0.08139191797</v>
      </c>
      <c r="K23" s="22">
        <f t="shared" si="4"/>
        <v>-0.00250757511</v>
      </c>
      <c r="L23" s="23">
        <f t="shared" si="5"/>
        <v>479.9077363</v>
      </c>
    </row>
    <row r="24" ht="12.0" customHeight="1">
      <c r="A24" s="9">
        <v>2.0</v>
      </c>
      <c r="B24" s="2">
        <v>7.0</v>
      </c>
      <c r="C24" s="19">
        <f>'Data Corrections'!M19</f>
        <v>525.1482655</v>
      </c>
      <c r="D24" s="19">
        <v>27.195</v>
      </c>
      <c r="E24" s="21">
        <v>1.67</v>
      </c>
      <c r="F24" s="19">
        <v>43.1</v>
      </c>
      <c r="G24" s="6">
        <v>1.629</v>
      </c>
      <c r="H24" s="22">
        <f t="shared" si="1"/>
        <v>36.797</v>
      </c>
      <c r="I24" s="22">
        <f t="shared" si="2"/>
        <v>-15.864</v>
      </c>
      <c r="J24" s="22">
        <f t="shared" si="3"/>
        <v>-0.2396693981</v>
      </c>
      <c r="K24" s="22">
        <f t="shared" si="4"/>
        <v>-0.003032144175</v>
      </c>
      <c r="L24" s="23">
        <f t="shared" si="5"/>
        <v>524.9078084</v>
      </c>
    </row>
    <row r="25" ht="12.0" customHeight="1">
      <c r="A25" s="9">
        <v>3.0</v>
      </c>
      <c r="B25" s="2">
        <v>4.0</v>
      </c>
      <c r="C25" s="19">
        <f>'Data Corrections'!M20</f>
        <v>134.9923225</v>
      </c>
      <c r="D25" s="19">
        <v>27.482</v>
      </c>
      <c r="E25" s="21">
        <v>1.738</v>
      </c>
      <c r="F25" s="19">
        <v>28.229</v>
      </c>
      <c r="G25" s="21">
        <v>1.62</v>
      </c>
      <c r="H25" s="22">
        <f t="shared" si="1"/>
        <v>29.5345</v>
      </c>
      <c r="I25" s="22">
        <f t="shared" si="2"/>
        <v>-0.629</v>
      </c>
      <c r="J25" s="22">
        <f t="shared" si="3"/>
        <v>-0.00146542833</v>
      </c>
      <c r="K25" s="22">
        <f t="shared" si="4"/>
        <v>-0.0006258751775</v>
      </c>
      <c r="L25" s="23">
        <f t="shared" si="5"/>
        <v>134.9908084</v>
      </c>
    </row>
    <row r="26" ht="12.0" customHeight="1">
      <c r="A26" s="9">
        <v>3.0</v>
      </c>
      <c r="B26" s="2">
        <v>5.0</v>
      </c>
      <c r="C26" s="19">
        <f>'Data Corrections'!M21</f>
        <v>300.0250995</v>
      </c>
      <c r="D26" s="19">
        <v>27.482</v>
      </c>
      <c r="E26" s="21">
        <v>1.738</v>
      </c>
      <c r="F26" s="19">
        <v>31.844</v>
      </c>
      <c r="G26" s="6">
        <v>1.648</v>
      </c>
      <c r="H26" s="22">
        <f t="shared" si="1"/>
        <v>31.356</v>
      </c>
      <c r="I26" s="22">
        <f t="shared" si="2"/>
        <v>-4.272</v>
      </c>
      <c r="J26" s="22">
        <f t="shared" si="3"/>
        <v>-0.03041563713</v>
      </c>
      <c r="K26" s="22">
        <f t="shared" si="4"/>
        <v>-0.001476685343</v>
      </c>
      <c r="L26" s="23">
        <f t="shared" si="5"/>
        <v>299.9944899</v>
      </c>
    </row>
    <row r="27" ht="12.0" customHeight="1">
      <c r="A27" s="9">
        <v>3.0</v>
      </c>
      <c r="B27" s="2">
        <v>7.0</v>
      </c>
      <c r="C27" s="19">
        <f>'Data Corrections'!M22</f>
        <v>450.2525952</v>
      </c>
      <c r="D27" s="19">
        <v>27.482</v>
      </c>
      <c r="E27" s="21">
        <v>1.738</v>
      </c>
      <c r="F27" s="19">
        <v>43.1</v>
      </c>
      <c r="G27" s="6">
        <v>1.629</v>
      </c>
      <c r="H27" s="22">
        <f t="shared" si="1"/>
        <v>36.9745</v>
      </c>
      <c r="I27" s="22">
        <f t="shared" si="2"/>
        <v>-15.509</v>
      </c>
      <c r="J27" s="22">
        <f t="shared" si="3"/>
        <v>-0.2671838772</v>
      </c>
      <c r="K27" s="22">
        <f t="shared" si="4"/>
        <v>-0.002611887661</v>
      </c>
      <c r="L27" s="23">
        <f t="shared" si="5"/>
        <v>449.9847236</v>
      </c>
    </row>
    <row r="28" ht="12.0" customHeight="1">
      <c r="A28" s="9">
        <v>3.0</v>
      </c>
      <c r="B28" s="2">
        <v>8.0</v>
      </c>
      <c r="C28" s="19">
        <f>'Data Corrections'!M23</f>
        <v>495.1104357</v>
      </c>
      <c r="D28" s="19">
        <v>27.482</v>
      </c>
      <c r="E28" s="21">
        <v>1.738</v>
      </c>
      <c r="F28" s="19">
        <v>48.497</v>
      </c>
      <c r="G28" s="21">
        <v>1.56</v>
      </c>
      <c r="H28" s="22">
        <f t="shared" si="1"/>
        <v>39.6385</v>
      </c>
      <c r="I28" s="22">
        <f t="shared" si="2"/>
        <v>-20.837</v>
      </c>
      <c r="J28" s="22">
        <f t="shared" si="3"/>
        <v>-0.4386627331</v>
      </c>
      <c r="K28" s="22">
        <f t="shared" si="4"/>
        <v>-0.003078138031</v>
      </c>
      <c r="L28" s="23">
        <f t="shared" si="5"/>
        <v>494.6708101</v>
      </c>
    </row>
    <row r="29" ht="12.0" customHeight="1">
      <c r="A29" s="9">
        <v>5.0</v>
      </c>
      <c r="B29" s="2">
        <v>6.0</v>
      </c>
      <c r="C29" s="19">
        <f>'Data Corrections'!M24</f>
        <v>105.0847538</v>
      </c>
      <c r="D29" s="19">
        <v>31.844</v>
      </c>
      <c r="E29" s="21">
        <v>1.648</v>
      </c>
      <c r="F29" s="19">
        <v>35.958</v>
      </c>
      <c r="G29" s="21">
        <v>1.746</v>
      </c>
      <c r="H29" s="22">
        <f t="shared" si="1"/>
        <v>35.598</v>
      </c>
      <c r="I29" s="22">
        <f t="shared" si="2"/>
        <v>-4.212</v>
      </c>
      <c r="J29" s="22">
        <f t="shared" si="3"/>
        <v>-0.08444648039</v>
      </c>
      <c r="K29" s="22">
        <f t="shared" si="4"/>
        <v>-0.0005867727257</v>
      </c>
      <c r="L29" s="23">
        <f t="shared" si="5"/>
        <v>105.0001695</v>
      </c>
    </row>
    <row r="30" ht="12.0" customHeight="1">
      <c r="A30" s="9">
        <v>5.0</v>
      </c>
      <c r="B30" s="2">
        <v>7.0</v>
      </c>
      <c r="C30" s="19">
        <f>'Data Corrections'!M25</f>
        <v>150.4112377</v>
      </c>
      <c r="D30" s="19">
        <v>31.844</v>
      </c>
      <c r="E30" s="21">
        <v>1.648</v>
      </c>
      <c r="F30" s="19">
        <v>43.1</v>
      </c>
      <c r="G30" s="6">
        <v>1.629</v>
      </c>
      <c r="H30" s="22">
        <f t="shared" si="1"/>
        <v>39.1105</v>
      </c>
      <c r="I30" s="22">
        <f t="shared" si="2"/>
        <v>-11.237</v>
      </c>
      <c r="J30" s="22">
        <f t="shared" si="3"/>
        <v>-0.420337112</v>
      </c>
      <c r="K30" s="22">
        <f t="shared" si="4"/>
        <v>-0.0009208990626</v>
      </c>
      <c r="L30" s="23">
        <f t="shared" si="5"/>
        <v>149.9906211</v>
      </c>
    </row>
    <row r="31" ht="12.0" customHeight="1">
      <c r="A31" s="9">
        <v>5.0</v>
      </c>
      <c r="B31" s="2">
        <v>8.0</v>
      </c>
      <c r="C31" s="19">
        <f>'Data Corrections'!M26</f>
        <v>195.3786671</v>
      </c>
      <c r="D31" s="19">
        <v>31.844</v>
      </c>
      <c r="E31" s="21">
        <v>1.648</v>
      </c>
      <c r="F31" s="19">
        <v>48.497</v>
      </c>
      <c r="G31" s="21">
        <v>1.56</v>
      </c>
      <c r="H31" s="22">
        <f t="shared" si="1"/>
        <v>41.7745</v>
      </c>
      <c r="I31" s="22">
        <f t="shared" si="2"/>
        <v>-16.565</v>
      </c>
      <c r="J31" s="22">
        <f t="shared" si="3"/>
        <v>-0.7034906119</v>
      </c>
      <c r="K31" s="22">
        <f t="shared" si="4"/>
        <v>-0.001276660988</v>
      </c>
      <c r="L31" s="23">
        <f t="shared" si="5"/>
        <v>194.6747322</v>
      </c>
    </row>
    <row r="32" ht="12.0" customHeight="1">
      <c r="A32" s="9">
        <v>7.0</v>
      </c>
      <c r="B32" s="2">
        <v>8.0</v>
      </c>
      <c r="C32" s="19">
        <f>'Data Corrections'!M27</f>
        <v>44.99959892</v>
      </c>
      <c r="D32" s="19">
        <v>43.1</v>
      </c>
      <c r="E32" s="21">
        <v>1.629</v>
      </c>
      <c r="F32" s="19">
        <v>48.497</v>
      </c>
      <c r="G32" s="21">
        <v>1.56</v>
      </c>
      <c r="H32" s="22">
        <f t="shared" si="1"/>
        <v>47.393</v>
      </c>
      <c r="I32" s="22">
        <f t="shared" si="2"/>
        <v>-5.328</v>
      </c>
      <c r="J32" s="22">
        <f t="shared" si="3"/>
        <v>-0.3165336146</v>
      </c>
      <c r="K32" s="22">
        <f t="shared" si="4"/>
        <v>-0.00033243819</v>
      </c>
      <c r="L32" s="23">
        <f t="shared" si="5"/>
        <v>44.68292394</v>
      </c>
    </row>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5" footer="0.0" header="0.0" left="0.7" right="0.7" top="0.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88"/>
    <col customWidth="1" min="2" max="2" width="3.88"/>
    <col customWidth="1" min="3" max="3" width="10.75"/>
    <col customWidth="1" min="4" max="4" width="10.13"/>
    <col customWidth="1" min="5" max="5" width="6.88"/>
    <col customWidth="1" min="6" max="6" width="4.0"/>
    <col customWidth="1" min="7" max="7" width="6.5"/>
    <col customWidth="1" min="8" max="8" width="4.13"/>
    <col customWidth="1" min="9" max="9" width="6.5"/>
    <col customWidth="1" min="10" max="10" width="3.13"/>
    <col customWidth="1" min="11" max="11" width="8.5"/>
    <col customWidth="1" min="12" max="12" width="5.13"/>
    <col customWidth="1" min="13" max="13" width="7.0"/>
    <col customWidth="1" min="14" max="14" width="4.13"/>
    <col customWidth="1" min="15" max="20" width="5.0"/>
    <col customWidth="1" min="21" max="23" width="4.5"/>
    <col customWidth="1" min="24" max="26" width="5.0"/>
  </cols>
  <sheetData>
    <row r="1" ht="12.75" customHeight="1">
      <c r="A1" s="15"/>
      <c r="B1" s="17"/>
      <c r="C1" s="17"/>
      <c r="D1" s="17"/>
      <c r="E1" s="17"/>
      <c r="F1" s="17"/>
      <c r="G1" s="17"/>
      <c r="H1" s="17"/>
      <c r="I1" s="17"/>
      <c r="J1" s="17"/>
      <c r="K1" s="17"/>
      <c r="L1" s="17"/>
      <c r="M1" s="17"/>
      <c r="N1" s="17"/>
      <c r="O1" s="17"/>
      <c r="P1" s="17"/>
      <c r="Q1" s="17"/>
      <c r="R1" s="17"/>
      <c r="S1" s="17"/>
      <c r="T1" s="17"/>
      <c r="U1" s="17"/>
      <c r="V1" s="17"/>
      <c r="W1" s="17"/>
      <c r="X1" s="17"/>
      <c r="Y1" s="17"/>
      <c r="Z1" s="17"/>
    </row>
    <row r="2" ht="12.75" customHeight="1">
      <c r="A2" s="17"/>
      <c r="B2" s="17"/>
      <c r="C2" s="17"/>
      <c r="D2" s="17"/>
      <c r="E2" s="17"/>
      <c r="F2" s="17"/>
      <c r="G2" s="17"/>
      <c r="H2" s="17"/>
      <c r="I2" s="17"/>
      <c r="J2" s="17"/>
      <c r="K2" s="17"/>
      <c r="L2" s="17"/>
      <c r="M2" s="17"/>
      <c r="N2" s="17"/>
      <c r="O2" s="15"/>
      <c r="P2" s="17"/>
      <c r="Q2" s="17"/>
      <c r="R2" s="17"/>
      <c r="S2" s="17"/>
      <c r="T2" s="17"/>
      <c r="U2" s="17"/>
      <c r="V2" s="17"/>
      <c r="W2" s="17"/>
      <c r="X2" s="17"/>
      <c r="Y2" s="17"/>
      <c r="Z2" s="17"/>
    </row>
    <row r="3" ht="12.75" customHeight="1">
      <c r="A3" s="17"/>
      <c r="B3" s="17"/>
      <c r="C3" s="17"/>
      <c r="D3" s="17"/>
      <c r="E3" s="17"/>
      <c r="F3" s="17"/>
      <c r="G3" s="17"/>
      <c r="H3" s="17"/>
      <c r="I3" s="17"/>
      <c r="J3" s="17"/>
      <c r="K3" s="17"/>
      <c r="L3" s="17"/>
      <c r="M3" s="17"/>
      <c r="N3" s="17"/>
      <c r="O3" s="15"/>
      <c r="P3" s="17"/>
      <c r="Q3" s="17"/>
      <c r="R3" s="17"/>
      <c r="S3" s="17"/>
      <c r="T3" s="17"/>
      <c r="U3" s="17"/>
      <c r="V3" s="17"/>
      <c r="W3" s="17"/>
      <c r="X3" s="17"/>
      <c r="Y3" s="17"/>
      <c r="Z3" s="17"/>
    </row>
    <row r="4" ht="12.75" customHeight="1">
      <c r="A4" s="17"/>
      <c r="B4" s="17"/>
      <c r="C4" s="17"/>
      <c r="D4" s="17"/>
      <c r="E4" s="17"/>
      <c r="F4" s="17"/>
      <c r="G4" s="17"/>
      <c r="H4" s="17"/>
      <c r="I4" s="17"/>
      <c r="J4" s="17"/>
      <c r="K4" s="17"/>
      <c r="L4" s="17"/>
      <c r="M4" s="17"/>
      <c r="N4" s="17"/>
      <c r="O4" s="15"/>
      <c r="P4" s="17"/>
      <c r="Q4" s="17"/>
      <c r="R4" s="17"/>
      <c r="S4" s="17"/>
      <c r="T4" s="17"/>
      <c r="U4" s="17"/>
      <c r="V4" s="17"/>
      <c r="W4" s="17"/>
      <c r="X4" s="17"/>
      <c r="Y4" s="17"/>
      <c r="Z4" s="17"/>
    </row>
    <row r="5" ht="12.75" customHeight="1">
      <c r="A5" s="17"/>
      <c r="B5" s="17"/>
      <c r="C5" s="17"/>
      <c r="D5" s="17"/>
      <c r="E5" s="17"/>
      <c r="F5" s="17"/>
      <c r="G5" s="17"/>
      <c r="H5" s="17"/>
      <c r="I5" s="17"/>
      <c r="J5" s="17"/>
      <c r="K5" s="17"/>
      <c r="L5" s="17"/>
      <c r="M5" s="17"/>
      <c r="N5" s="17"/>
      <c r="O5" s="15"/>
      <c r="P5" s="17"/>
      <c r="Q5" s="17"/>
      <c r="R5" s="17"/>
      <c r="S5" s="17"/>
      <c r="T5" s="17"/>
      <c r="U5" s="17"/>
      <c r="V5" s="17"/>
      <c r="W5" s="17"/>
      <c r="X5" s="17"/>
      <c r="Y5" s="17"/>
      <c r="Z5" s="17"/>
    </row>
    <row r="6" ht="12.75" customHeight="1">
      <c r="A6" s="15" t="s">
        <v>53</v>
      </c>
      <c r="B6" s="17"/>
      <c r="C6" s="17"/>
      <c r="D6" s="17"/>
      <c r="E6" s="17"/>
      <c r="F6" s="17"/>
      <c r="G6" s="17"/>
      <c r="H6" s="17"/>
      <c r="I6" s="17"/>
      <c r="J6" s="17"/>
      <c r="K6" s="17"/>
      <c r="L6" s="17"/>
      <c r="M6" s="17"/>
      <c r="N6" s="17"/>
      <c r="O6" s="17"/>
      <c r="P6" s="17"/>
      <c r="Q6" s="17"/>
      <c r="R6" s="17"/>
      <c r="S6" s="17"/>
      <c r="T6" s="17"/>
      <c r="U6" s="17"/>
      <c r="V6" s="17"/>
      <c r="W6" s="17"/>
      <c r="X6" s="17"/>
      <c r="Y6" s="17"/>
      <c r="Z6" s="17"/>
    </row>
    <row r="7" ht="12.0" customHeight="1">
      <c r="A7" s="17"/>
      <c r="B7" s="20" t="s">
        <v>54</v>
      </c>
      <c r="C7" s="19">
        <v>0.0</v>
      </c>
      <c r="D7" s="17" t="s">
        <v>55</v>
      </c>
      <c r="E7" s="17"/>
      <c r="F7" s="17"/>
      <c r="G7" s="17"/>
      <c r="H7" s="17"/>
      <c r="I7" s="17"/>
      <c r="J7" s="17"/>
      <c r="K7" s="17"/>
      <c r="L7" s="17"/>
      <c r="M7" s="17"/>
      <c r="N7" s="17"/>
      <c r="O7" s="17"/>
      <c r="P7" s="17"/>
      <c r="Q7" s="17"/>
      <c r="R7" s="17"/>
      <c r="S7" s="17"/>
      <c r="T7" s="17"/>
      <c r="U7" s="17"/>
      <c r="V7" s="17"/>
      <c r="W7" s="17"/>
      <c r="X7" s="17"/>
      <c r="Y7" s="17"/>
      <c r="Z7" s="17"/>
    </row>
    <row r="8" ht="12.75" customHeight="1">
      <c r="A8" s="17"/>
      <c r="B8" s="20" t="s">
        <v>56</v>
      </c>
      <c r="C8" s="19">
        <v>202.078</v>
      </c>
      <c r="D8" s="17" t="s">
        <v>55</v>
      </c>
      <c r="E8" s="17"/>
      <c r="F8" s="15"/>
      <c r="G8" s="17"/>
      <c r="H8" s="17"/>
      <c r="I8" s="17"/>
      <c r="J8" s="17"/>
      <c r="K8" s="17"/>
      <c r="L8" s="17"/>
      <c r="M8" s="17"/>
      <c r="N8" s="17"/>
      <c r="O8" s="17"/>
      <c r="P8" s="17"/>
      <c r="Q8" s="17"/>
      <c r="R8" s="17"/>
      <c r="S8" s="17"/>
      <c r="T8" s="17"/>
      <c r="U8" s="17"/>
      <c r="V8" s="17"/>
      <c r="W8" s="17"/>
      <c r="X8" s="17"/>
      <c r="Y8" s="17"/>
      <c r="Z8" s="17"/>
    </row>
    <row r="9" ht="12.0" customHeight="1">
      <c r="A9" s="17"/>
      <c r="B9" s="20" t="s">
        <v>57</v>
      </c>
      <c r="C9" s="19">
        <v>458.731</v>
      </c>
      <c r="D9" s="17" t="s">
        <v>55</v>
      </c>
      <c r="E9" s="17"/>
      <c r="F9" s="17"/>
      <c r="G9" s="17"/>
      <c r="H9" s="17"/>
      <c r="I9" s="17"/>
      <c r="J9" s="17"/>
      <c r="K9" s="17"/>
      <c r="L9" s="17"/>
      <c r="M9" s="17"/>
      <c r="N9" s="17"/>
      <c r="O9" s="17"/>
      <c r="P9" s="17"/>
      <c r="Q9" s="17"/>
      <c r="R9" s="17"/>
      <c r="S9" s="17"/>
      <c r="T9" s="17"/>
      <c r="U9" s="17"/>
      <c r="V9" s="17"/>
      <c r="W9" s="17"/>
      <c r="X9" s="17"/>
      <c r="Y9" s="17"/>
      <c r="Z9" s="17"/>
    </row>
    <row r="10" ht="12.0" customHeight="1">
      <c r="A10" s="17"/>
      <c r="B10" s="20" t="s">
        <v>58</v>
      </c>
      <c r="C10" s="19">
        <v>605.008</v>
      </c>
      <c r="D10" s="17" t="s">
        <v>55</v>
      </c>
      <c r="E10" s="17"/>
      <c r="F10" s="17"/>
      <c r="G10" s="17"/>
      <c r="H10" s="17"/>
      <c r="I10" s="17"/>
      <c r="J10" s="17"/>
      <c r="K10" s="17"/>
      <c r="L10" s="17"/>
      <c r="M10" s="17"/>
      <c r="N10" s="17"/>
      <c r="O10" s="17"/>
      <c r="P10" s="17"/>
      <c r="Q10" s="17"/>
      <c r="R10" s="17"/>
      <c r="S10" s="17"/>
      <c r="T10" s="17"/>
      <c r="U10" s="17"/>
      <c r="V10" s="17"/>
      <c r="W10" s="17"/>
      <c r="X10" s="17"/>
      <c r="Y10" s="17"/>
      <c r="Z10" s="17"/>
    </row>
    <row r="11" ht="12.0" customHeight="1">
      <c r="A11" s="17" t="s">
        <v>59</v>
      </c>
      <c r="B11" s="17"/>
      <c r="C11" s="6"/>
      <c r="D11" s="17"/>
      <c r="E11" s="17"/>
      <c r="F11" s="17"/>
      <c r="G11" s="17"/>
      <c r="H11" s="17"/>
      <c r="I11" s="17"/>
      <c r="J11" s="17"/>
      <c r="K11" s="17"/>
      <c r="L11" s="17"/>
      <c r="M11" s="17"/>
      <c r="N11" s="17"/>
      <c r="O11" s="17"/>
      <c r="P11" s="17"/>
      <c r="Q11" s="17"/>
      <c r="R11" s="17"/>
      <c r="S11" s="17"/>
      <c r="T11" s="17"/>
      <c r="U11" s="17"/>
      <c r="V11" s="17"/>
      <c r="W11" s="17"/>
      <c r="X11" s="17"/>
      <c r="Y11" s="17"/>
      <c r="Z11" s="17"/>
    </row>
    <row r="12" ht="12.0" customHeight="1">
      <c r="A12" s="17" t="s">
        <v>60</v>
      </c>
      <c r="B12" s="17"/>
      <c r="C12" s="24">
        <v>-0.3</v>
      </c>
      <c r="D12" s="17" t="s">
        <v>61</v>
      </c>
      <c r="E12" s="17"/>
      <c r="F12" s="17">
        <f>C12/1000</f>
        <v>-0.0003</v>
      </c>
      <c r="G12" s="17" t="s">
        <v>62</v>
      </c>
      <c r="H12" s="17"/>
      <c r="I12" s="17"/>
      <c r="J12" s="17"/>
      <c r="K12" s="17"/>
      <c r="L12" s="17"/>
      <c r="M12" s="17"/>
      <c r="N12" s="17"/>
      <c r="O12" s="17"/>
      <c r="P12" s="17"/>
      <c r="Q12" s="17"/>
      <c r="R12" s="17"/>
      <c r="S12" s="17"/>
      <c r="T12" s="17"/>
      <c r="U12" s="17"/>
      <c r="V12" s="17"/>
      <c r="W12" s="17"/>
      <c r="X12" s="17"/>
      <c r="Y12" s="17"/>
      <c r="Z12" s="17"/>
    </row>
    <row r="13" ht="12.0" customHeight="1">
      <c r="A13" s="17" t="s">
        <v>63</v>
      </c>
      <c r="B13" s="17"/>
      <c r="C13" s="25">
        <v>-3.1</v>
      </c>
      <c r="D13" s="17" t="s">
        <v>64</v>
      </c>
      <c r="E13" s="17"/>
      <c r="F13" s="17">
        <f>C13/1000000</f>
        <v>-0.0000031</v>
      </c>
      <c r="G13" s="17" t="s">
        <v>65</v>
      </c>
      <c r="H13" s="17"/>
      <c r="I13" s="17"/>
      <c r="J13" s="17"/>
      <c r="K13" s="17"/>
      <c r="L13" s="17"/>
      <c r="M13" s="17"/>
      <c r="N13" s="17"/>
      <c r="O13" s="17"/>
      <c r="P13" s="17"/>
      <c r="Q13" s="17"/>
      <c r="R13" s="17"/>
      <c r="S13" s="17"/>
      <c r="T13" s="17"/>
      <c r="U13" s="17"/>
      <c r="V13" s="17"/>
      <c r="W13" s="17"/>
      <c r="X13" s="17"/>
      <c r="Y13" s="17"/>
      <c r="Z13" s="17"/>
    </row>
    <row r="14" ht="12.0" customHeight="1">
      <c r="A14" s="17" t="s">
        <v>66</v>
      </c>
      <c r="B14" s="17"/>
      <c r="C14" s="26">
        <v>2.0</v>
      </c>
      <c r="D14" s="17" t="s">
        <v>67</v>
      </c>
      <c r="E14" s="26">
        <v>1.0</v>
      </c>
      <c r="F14" s="17" t="s">
        <v>64</v>
      </c>
      <c r="G14" s="17"/>
      <c r="H14" s="17"/>
      <c r="I14" s="17"/>
      <c r="J14" s="17"/>
      <c r="K14" s="17"/>
      <c r="L14" s="17"/>
      <c r="M14" s="17"/>
      <c r="N14" s="17"/>
      <c r="O14" s="17"/>
      <c r="P14" s="17"/>
      <c r="Q14" s="17"/>
      <c r="R14" s="17"/>
      <c r="S14" s="17"/>
      <c r="T14" s="17"/>
      <c r="U14" s="17"/>
      <c r="V14" s="17"/>
      <c r="W14" s="17"/>
      <c r="X14" s="17"/>
      <c r="Y14" s="17"/>
      <c r="Z14" s="17"/>
    </row>
    <row r="15" ht="12.75" customHeight="1">
      <c r="A15" s="15" t="s">
        <v>68</v>
      </c>
      <c r="B15" s="17"/>
      <c r="C15" s="17"/>
      <c r="D15" s="17"/>
      <c r="E15" s="17"/>
      <c r="F15" s="17"/>
      <c r="G15" s="17"/>
      <c r="H15" s="17"/>
      <c r="I15" s="17"/>
      <c r="J15" s="17"/>
      <c r="K15" s="17" t="s">
        <v>69</v>
      </c>
      <c r="L15" s="17"/>
      <c r="M15" s="17"/>
      <c r="N15" s="17"/>
      <c r="O15" s="17"/>
      <c r="P15" s="17"/>
      <c r="Q15" s="17"/>
      <c r="R15" s="17"/>
      <c r="S15" s="17"/>
      <c r="T15" s="17"/>
      <c r="U15" s="17"/>
      <c r="V15" s="17"/>
      <c r="W15" s="17"/>
      <c r="X15" s="17"/>
      <c r="Y15" s="17"/>
      <c r="Z15" s="17"/>
    </row>
    <row r="16" ht="12.75" customHeight="1">
      <c r="A16" s="27" t="s">
        <v>16</v>
      </c>
      <c r="B16" s="17" t="s">
        <v>17</v>
      </c>
      <c r="C16" s="17" t="s">
        <v>70</v>
      </c>
      <c r="D16" s="17" t="s">
        <v>71</v>
      </c>
      <c r="E16" s="17" t="s">
        <v>72</v>
      </c>
      <c r="F16" s="15" t="s">
        <v>73</v>
      </c>
      <c r="G16" s="17"/>
      <c r="H16" s="17"/>
      <c r="I16" s="20" t="s">
        <v>74</v>
      </c>
      <c r="J16" s="17"/>
      <c r="K16" s="20" t="s">
        <v>75</v>
      </c>
      <c r="L16" s="17"/>
      <c r="M16" s="20" t="s">
        <v>76</v>
      </c>
      <c r="N16" s="20"/>
      <c r="O16" s="15"/>
      <c r="P16" s="17"/>
      <c r="Q16" s="17"/>
      <c r="R16" s="17"/>
      <c r="S16" s="17"/>
      <c r="T16" s="17"/>
      <c r="U16" s="17"/>
      <c r="V16" s="17"/>
      <c r="W16" s="17"/>
      <c r="X16" s="17"/>
      <c r="Y16" s="17"/>
      <c r="Z16" s="17"/>
    </row>
    <row r="17" ht="12.0" customHeight="1">
      <c r="A17" s="18">
        <v>1.0</v>
      </c>
      <c r="B17" s="17">
        <v>2.0</v>
      </c>
      <c r="C17" s="19">
        <v>202.0784</v>
      </c>
      <c r="D17" s="22">
        <f>C8-C7</f>
        <v>202.078</v>
      </c>
      <c r="E17" s="28">
        <f t="shared" ref="E17:E28" si="1">C$14+E$14*D17/1000</f>
        <v>2.202078</v>
      </c>
      <c r="F17" s="29">
        <f t="shared" ref="F17:F28" si="2">-1/E17</f>
        <v>-0.4541165208</v>
      </c>
      <c r="G17" s="30">
        <f t="shared" ref="G17:G28" si="3">(-D17/1000)/E17</f>
        <v>-0.0917669583</v>
      </c>
      <c r="H17" s="17"/>
      <c r="I17" s="29">
        <f t="shared" ref="I17:I28" si="4">(-1000*(D17-F$12-F$13*D17-C17))/E17</f>
        <v>-0.2390659187</v>
      </c>
      <c r="J17" s="17"/>
      <c r="K17" s="29">
        <f t="shared" ref="K17:K28" si="5">M17*E17</f>
        <v>0.3676056175</v>
      </c>
      <c r="L17" s="29"/>
      <c r="M17" s="31">
        <f t="array" ref="M17:M28">MMULT(F17:G28,G32:G33)-I17:I28</f>
        <v>0.1669357841</v>
      </c>
      <c r="N17" s="32"/>
      <c r="O17" s="17"/>
      <c r="P17" s="17"/>
      <c r="Q17" s="17"/>
      <c r="R17" s="17"/>
      <c r="S17" s="17"/>
      <c r="T17" s="17"/>
      <c r="U17" s="17"/>
      <c r="V17" s="17"/>
      <c r="W17" s="17"/>
      <c r="X17" s="17"/>
      <c r="Y17" s="17"/>
      <c r="Z17" s="17"/>
    </row>
    <row r="18" ht="12.0" customHeight="1">
      <c r="A18" s="18">
        <v>1.0</v>
      </c>
      <c r="B18" s="17">
        <v>3.0</v>
      </c>
      <c r="C18" s="19">
        <v>458.7348</v>
      </c>
      <c r="D18" s="22">
        <f>C9-C7</f>
        <v>458.731</v>
      </c>
      <c r="E18" s="28">
        <f t="shared" si="1"/>
        <v>2.458731</v>
      </c>
      <c r="F18" s="29">
        <f t="shared" si="2"/>
        <v>-0.4067138699</v>
      </c>
      <c r="G18" s="30">
        <f t="shared" si="3"/>
        <v>-0.1865722602</v>
      </c>
      <c r="H18" s="17"/>
      <c r="I18" s="29">
        <f t="shared" si="4"/>
        <v>0.8451245378</v>
      </c>
      <c r="J18" s="17"/>
      <c r="K18" s="29">
        <f t="shared" si="5"/>
        <v>-1.978765322</v>
      </c>
      <c r="L18" s="29"/>
      <c r="M18" s="31">
        <v>-0.8047913018547606</v>
      </c>
      <c r="N18" s="32"/>
      <c r="O18" s="17"/>
      <c r="P18" s="17"/>
      <c r="Q18" s="17"/>
      <c r="R18" s="17"/>
      <c r="S18" s="17"/>
      <c r="T18" s="17"/>
      <c r="U18" s="17"/>
      <c r="V18" s="17"/>
      <c r="W18" s="17"/>
      <c r="X18" s="17"/>
      <c r="Y18" s="17"/>
      <c r="Z18" s="17"/>
    </row>
    <row r="19" ht="12.0" customHeight="1">
      <c r="A19" s="18">
        <v>1.0</v>
      </c>
      <c r="B19" s="17">
        <v>4.0</v>
      </c>
      <c r="C19" s="19">
        <v>605.0083</v>
      </c>
      <c r="D19" s="22">
        <f>C10-C7</f>
        <v>605.008</v>
      </c>
      <c r="E19" s="28">
        <f t="shared" si="1"/>
        <v>2.605008</v>
      </c>
      <c r="F19" s="29">
        <f t="shared" si="2"/>
        <v>-0.3838759804</v>
      </c>
      <c r="G19" s="30">
        <f t="shared" si="3"/>
        <v>-0.2322480392</v>
      </c>
      <c r="H19" s="17"/>
      <c r="I19" s="29">
        <f t="shared" si="4"/>
        <v>-0.7199689214</v>
      </c>
      <c r="J19" s="17"/>
      <c r="K19" s="29">
        <f t="shared" si="5"/>
        <v>2.121740801</v>
      </c>
      <c r="L19" s="29"/>
      <c r="M19" s="31">
        <v>0.8144853301155444</v>
      </c>
      <c r="N19" s="32"/>
      <c r="O19" s="17"/>
      <c r="P19" s="17"/>
      <c r="Q19" s="17"/>
      <c r="R19" s="17"/>
      <c r="S19" s="17"/>
      <c r="T19" s="17"/>
      <c r="U19" s="17"/>
      <c r="V19" s="17"/>
      <c r="W19" s="17"/>
      <c r="X19" s="17"/>
      <c r="Y19" s="17"/>
      <c r="Z19" s="17"/>
    </row>
    <row r="20" ht="12.0" customHeight="1">
      <c r="A20" s="18">
        <v>2.0</v>
      </c>
      <c r="B20" s="17">
        <v>1.0</v>
      </c>
      <c r="C20" s="19">
        <v>202.0784</v>
      </c>
      <c r="D20" s="22">
        <f t="shared" ref="D20:D21" si="6">C8-C7</f>
        <v>202.078</v>
      </c>
      <c r="E20" s="28">
        <f t="shared" si="1"/>
        <v>2.202078</v>
      </c>
      <c r="F20" s="29">
        <f t="shared" si="2"/>
        <v>-0.4541165208</v>
      </c>
      <c r="G20" s="30">
        <f t="shared" si="3"/>
        <v>-0.0917669583</v>
      </c>
      <c r="H20" s="17"/>
      <c r="I20" s="29">
        <f t="shared" si="4"/>
        <v>-0.2390659187</v>
      </c>
      <c r="J20" s="17"/>
      <c r="K20" s="29">
        <f t="shared" si="5"/>
        <v>0.3676056175</v>
      </c>
      <c r="L20" s="29"/>
      <c r="M20" s="31">
        <v>0.16693578408508825</v>
      </c>
      <c r="N20" s="32"/>
      <c r="O20" s="17"/>
      <c r="P20" s="17"/>
      <c r="Q20" s="17"/>
      <c r="R20" s="17"/>
      <c r="S20" s="17"/>
      <c r="T20" s="17"/>
      <c r="U20" s="17"/>
      <c r="V20" s="17"/>
      <c r="W20" s="17"/>
      <c r="X20" s="17"/>
      <c r="Y20" s="17"/>
      <c r="Z20" s="17"/>
    </row>
    <row r="21" ht="12.0" customHeight="1">
      <c r="A21" s="18">
        <v>2.0</v>
      </c>
      <c r="B21" s="17">
        <v>3.0</v>
      </c>
      <c r="C21" s="19">
        <v>256.6573</v>
      </c>
      <c r="D21" s="22">
        <f t="shared" si="6"/>
        <v>256.653</v>
      </c>
      <c r="E21" s="28">
        <f t="shared" si="1"/>
        <v>2.256653</v>
      </c>
      <c r="F21" s="29">
        <f t="shared" si="2"/>
        <v>-0.443134146</v>
      </c>
      <c r="G21" s="30">
        <f t="shared" si="3"/>
        <v>-0.113731708</v>
      </c>
      <c r="H21" s="17"/>
      <c r="I21" s="29">
        <f t="shared" si="4"/>
        <v>1.419968289</v>
      </c>
      <c r="J21" s="17"/>
      <c r="K21" s="29">
        <f t="shared" si="5"/>
        <v>-3.308349443</v>
      </c>
      <c r="L21" s="29"/>
      <c r="M21" s="31">
        <v>-1.4660426049636697</v>
      </c>
      <c r="N21" s="32"/>
      <c r="O21" s="17"/>
      <c r="P21" s="17"/>
      <c r="Q21" s="17"/>
      <c r="R21" s="17"/>
      <c r="S21" s="17"/>
      <c r="T21" s="17"/>
      <c r="U21" s="17"/>
      <c r="V21" s="17"/>
      <c r="W21" s="17"/>
      <c r="X21" s="17"/>
      <c r="Y21" s="17"/>
      <c r="Z21" s="17"/>
    </row>
    <row r="22" ht="12.0" customHeight="1">
      <c r="A22" s="18">
        <v>2.0</v>
      </c>
      <c r="B22" s="17">
        <v>4.0</v>
      </c>
      <c r="C22" s="19">
        <v>402.931</v>
      </c>
      <c r="D22" s="22">
        <f>C10-C8</f>
        <v>402.93</v>
      </c>
      <c r="E22" s="28">
        <f t="shared" si="1"/>
        <v>2.40293</v>
      </c>
      <c r="F22" s="29">
        <f t="shared" si="2"/>
        <v>-0.4161586064</v>
      </c>
      <c r="G22" s="30">
        <f t="shared" si="3"/>
        <v>-0.1676827873</v>
      </c>
      <c r="H22" s="17"/>
      <c r="I22" s="29">
        <f t="shared" si="4"/>
        <v>-0.2285056161</v>
      </c>
      <c r="J22" s="17"/>
      <c r="K22" s="29">
        <f t="shared" si="5"/>
        <v>0.5921566806</v>
      </c>
      <c r="L22" s="29"/>
      <c r="M22" s="31">
        <v>0.2464310989535991</v>
      </c>
      <c r="N22" s="32"/>
      <c r="O22" s="17"/>
      <c r="P22" s="17"/>
      <c r="Q22" s="17"/>
      <c r="R22" s="17"/>
      <c r="S22" s="17"/>
      <c r="T22" s="17"/>
      <c r="U22" s="17"/>
      <c r="V22" s="17"/>
      <c r="W22" s="17"/>
      <c r="X22" s="17"/>
      <c r="Y22" s="17"/>
      <c r="Z22" s="17"/>
    </row>
    <row r="23" ht="12.0" customHeight="1">
      <c r="A23" s="18">
        <v>3.0</v>
      </c>
      <c r="B23" s="17">
        <v>1.0</v>
      </c>
      <c r="C23" s="19">
        <v>458.7348</v>
      </c>
      <c r="D23" s="22">
        <f>C9-C7</f>
        <v>458.731</v>
      </c>
      <c r="E23" s="28">
        <f t="shared" si="1"/>
        <v>2.458731</v>
      </c>
      <c r="F23" s="29">
        <f t="shared" si="2"/>
        <v>-0.4067138699</v>
      </c>
      <c r="G23" s="30">
        <f t="shared" si="3"/>
        <v>-0.1865722602</v>
      </c>
      <c r="H23" s="17"/>
      <c r="I23" s="29">
        <f t="shared" si="4"/>
        <v>0.8451245378</v>
      </c>
      <c r="J23" s="17"/>
      <c r="K23" s="29">
        <f t="shared" si="5"/>
        <v>-1.978765322</v>
      </c>
      <c r="L23" s="29"/>
      <c r="M23" s="31">
        <v>-0.8047913018547606</v>
      </c>
      <c r="N23" s="32"/>
      <c r="O23" s="17"/>
      <c r="P23" s="17"/>
      <c r="Q23" s="17"/>
      <c r="R23" s="17"/>
      <c r="S23" s="17"/>
      <c r="T23" s="17"/>
      <c r="U23" s="30"/>
      <c r="V23" s="17"/>
      <c r="W23" s="17"/>
      <c r="X23" s="17"/>
      <c r="Y23" s="17"/>
      <c r="Z23" s="17"/>
    </row>
    <row r="24" ht="12.0" customHeight="1">
      <c r="A24" s="18">
        <v>3.0</v>
      </c>
      <c r="B24" s="17">
        <v>2.0</v>
      </c>
      <c r="C24" s="19">
        <v>256.6573</v>
      </c>
      <c r="D24" s="22">
        <f t="shared" ref="D24:D25" si="7">C9-C8</f>
        <v>256.653</v>
      </c>
      <c r="E24" s="28">
        <f t="shared" si="1"/>
        <v>2.256653</v>
      </c>
      <c r="F24" s="29">
        <f t="shared" si="2"/>
        <v>-0.443134146</v>
      </c>
      <c r="G24" s="30">
        <f t="shared" si="3"/>
        <v>-0.113731708</v>
      </c>
      <c r="H24" s="17"/>
      <c r="I24" s="29">
        <f t="shared" si="4"/>
        <v>1.419968289</v>
      </c>
      <c r="J24" s="17"/>
      <c r="K24" s="29">
        <f t="shared" si="5"/>
        <v>-3.308349443</v>
      </c>
      <c r="L24" s="29"/>
      <c r="M24" s="31">
        <v>-1.4660426049636697</v>
      </c>
      <c r="N24" s="32"/>
      <c r="O24" s="17"/>
      <c r="P24" s="17"/>
      <c r="Q24" s="17"/>
      <c r="R24" s="17"/>
      <c r="S24" s="17"/>
      <c r="T24" s="17"/>
      <c r="U24" s="17"/>
      <c r="V24" s="30"/>
      <c r="W24" s="17"/>
      <c r="X24" s="17"/>
      <c r="Y24" s="17"/>
      <c r="Z24" s="17"/>
    </row>
    <row r="25" ht="12.0" customHeight="1">
      <c r="A25" s="18">
        <v>3.0</v>
      </c>
      <c r="B25" s="17">
        <v>4.0</v>
      </c>
      <c r="C25" s="19">
        <v>146.2753</v>
      </c>
      <c r="D25" s="22">
        <f t="shared" si="7"/>
        <v>146.277</v>
      </c>
      <c r="E25" s="28">
        <f t="shared" si="1"/>
        <v>2.146277</v>
      </c>
      <c r="F25" s="29">
        <f t="shared" si="2"/>
        <v>-0.4659230845</v>
      </c>
      <c r="G25" s="30">
        <f t="shared" si="3"/>
        <v>-0.06815383103</v>
      </c>
      <c r="H25" s="17"/>
      <c r="I25" s="29">
        <f t="shared" si="4"/>
        <v>-1.143123045</v>
      </c>
      <c r="J25" s="17"/>
      <c r="K25" s="29">
        <f t="shared" si="5"/>
        <v>2.238527621</v>
      </c>
      <c r="L25" s="29"/>
      <c r="M25" s="31">
        <v>1.0429816936641985</v>
      </c>
      <c r="N25" s="32"/>
      <c r="O25" s="17"/>
      <c r="P25" s="17"/>
      <c r="Q25" s="17"/>
      <c r="R25" s="17"/>
      <c r="S25" s="17"/>
      <c r="T25" s="17"/>
      <c r="U25" s="17"/>
      <c r="V25" s="17"/>
      <c r="W25" s="30"/>
      <c r="X25" s="17"/>
      <c r="Y25" s="17"/>
      <c r="Z25" s="17"/>
    </row>
    <row r="26" ht="12.0" customHeight="1">
      <c r="A26" s="18">
        <v>4.0</v>
      </c>
      <c r="B26" s="17">
        <v>1.0</v>
      </c>
      <c r="C26" s="19">
        <v>605.0083</v>
      </c>
      <c r="D26" s="22">
        <f>C10-C7</f>
        <v>605.008</v>
      </c>
      <c r="E26" s="28">
        <f t="shared" si="1"/>
        <v>2.605008</v>
      </c>
      <c r="F26" s="29">
        <f t="shared" si="2"/>
        <v>-0.3838759804</v>
      </c>
      <c r="G26" s="30">
        <f t="shared" si="3"/>
        <v>-0.2322480392</v>
      </c>
      <c r="H26" s="17"/>
      <c r="I26" s="29">
        <f t="shared" si="4"/>
        <v>-0.7199689214</v>
      </c>
      <c r="J26" s="17"/>
      <c r="K26" s="29">
        <f t="shared" si="5"/>
        <v>2.121740801</v>
      </c>
      <c r="L26" s="29"/>
      <c r="M26" s="31">
        <v>0.8144853301155444</v>
      </c>
      <c r="N26" s="32"/>
      <c r="O26" s="17"/>
      <c r="P26" s="17"/>
      <c r="Q26" s="17"/>
      <c r="R26" s="17"/>
      <c r="S26" s="17"/>
      <c r="T26" s="17"/>
      <c r="U26" s="17"/>
      <c r="V26" s="17"/>
      <c r="W26" s="17"/>
      <c r="X26" s="17"/>
      <c r="Y26" s="17"/>
      <c r="Z26" s="17"/>
    </row>
    <row r="27" ht="12.0" customHeight="1">
      <c r="A27" s="18">
        <v>4.0</v>
      </c>
      <c r="B27" s="17">
        <v>2.0</v>
      </c>
      <c r="C27" s="19">
        <v>402.931</v>
      </c>
      <c r="D27" s="22">
        <f>C10-C8</f>
        <v>402.93</v>
      </c>
      <c r="E27" s="28">
        <f t="shared" si="1"/>
        <v>2.40293</v>
      </c>
      <c r="F27" s="29">
        <f t="shared" si="2"/>
        <v>-0.4161586064</v>
      </c>
      <c r="G27" s="30">
        <f t="shared" si="3"/>
        <v>-0.1676827873</v>
      </c>
      <c r="H27" s="17"/>
      <c r="I27" s="29">
        <f t="shared" si="4"/>
        <v>-0.2285056161</v>
      </c>
      <c r="J27" s="17"/>
      <c r="K27" s="29">
        <f t="shared" si="5"/>
        <v>0.5921566806</v>
      </c>
      <c r="L27" s="29"/>
      <c r="M27" s="31">
        <v>0.2464310989535991</v>
      </c>
      <c r="N27" s="32"/>
      <c r="O27" s="17"/>
      <c r="P27" s="17"/>
      <c r="Q27" s="17"/>
      <c r="R27" s="17"/>
      <c r="S27" s="17"/>
      <c r="T27" s="17"/>
      <c r="U27" s="17"/>
      <c r="V27" s="17"/>
      <c r="W27" s="17"/>
      <c r="X27" s="17"/>
      <c r="Y27" s="17"/>
      <c r="Z27" s="17"/>
    </row>
    <row r="28" ht="12.0" customHeight="1">
      <c r="A28" s="18">
        <v>4.0</v>
      </c>
      <c r="B28" s="17">
        <v>3.0</v>
      </c>
      <c r="C28" s="19">
        <v>146.2753</v>
      </c>
      <c r="D28" s="22">
        <f>C10-C9</f>
        <v>146.277</v>
      </c>
      <c r="E28" s="28">
        <f t="shared" si="1"/>
        <v>2.146277</v>
      </c>
      <c r="F28" s="29">
        <f t="shared" si="2"/>
        <v>-0.4659230845</v>
      </c>
      <c r="G28" s="30">
        <f t="shared" si="3"/>
        <v>-0.06815383103</v>
      </c>
      <c r="H28" s="17"/>
      <c r="I28" s="29">
        <f t="shared" si="4"/>
        <v>-1.143123045</v>
      </c>
      <c r="J28" s="17"/>
      <c r="K28" s="29">
        <f t="shared" si="5"/>
        <v>2.238527621</v>
      </c>
      <c r="L28" s="29"/>
      <c r="M28" s="31">
        <v>1.0429816936641985</v>
      </c>
      <c r="N28" s="32"/>
      <c r="O28" s="17"/>
      <c r="P28" s="17"/>
      <c r="Q28" s="17"/>
      <c r="R28" s="17"/>
      <c r="S28" s="17"/>
      <c r="T28" s="17"/>
      <c r="U28" s="17"/>
      <c r="V28" s="17"/>
      <c r="W28" s="17"/>
      <c r="X28" s="17"/>
      <c r="Y28" s="17"/>
      <c r="Z28" s="17"/>
    </row>
    <row r="29" ht="12.0" customHeight="1">
      <c r="A29" s="17"/>
      <c r="B29" s="27" t="s">
        <v>77</v>
      </c>
      <c r="C29" s="17">
        <f>COUNT(C17:C28)</f>
        <v>12</v>
      </c>
      <c r="D29" s="17"/>
      <c r="E29" s="17"/>
      <c r="F29" s="17"/>
      <c r="G29" s="17"/>
      <c r="H29" s="17"/>
      <c r="I29" s="17"/>
      <c r="J29" s="17"/>
      <c r="K29" s="17"/>
      <c r="L29" s="17"/>
      <c r="M29" s="32"/>
      <c r="N29" s="27"/>
      <c r="O29" s="17"/>
      <c r="P29" s="17"/>
      <c r="Q29" s="17"/>
      <c r="R29" s="17"/>
      <c r="S29" s="17"/>
      <c r="T29" s="17"/>
      <c r="U29" s="17"/>
      <c r="V29" s="17"/>
      <c r="W29" s="17"/>
      <c r="X29" s="17"/>
      <c r="Y29" s="17"/>
      <c r="Z29" s="17"/>
    </row>
    <row r="30" ht="12.0" customHeight="1">
      <c r="A30" s="17"/>
      <c r="B30" s="27" t="s">
        <v>78</v>
      </c>
      <c r="C30" s="17">
        <f>C29-2</f>
        <v>10</v>
      </c>
      <c r="D30" s="30"/>
      <c r="H30" s="17"/>
      <c r="I30" s="30"/>
      <c r="J30" s="17"/>
      <c r="K30" s="17"/>
      <c r="L30" s="27" t="s">
        <v>79</v>
      </c>
      <c r="M30" s="31">
        <f>SUMSQ(M17:M28)/C30</f>
        <v>0.9273525936</v>
      </c>
      <c r="N30" s="32"/>
      <c r="O30" s="17"/>
      <c r="P30" s="17"/>
      <c r="Q30" s="17"/>
      <c r="R30" s="17"/>
      <c r="S30" s="17"/>
      <c r="T30" s="17"/>
      <c r="U30" s="17"/>
      <c r="V30" s="17"/>
      <c r="W30" s="17"/>
      <c r="X30" s="17"/>
      <c r="Y30" s="17"/>
      <c r="Z30" s="17"/>
    </row>
    <row r="31" ht="12.0" customHeight="1">
      <c r="A31" s="17"/>
      <c r="B31" s="17"/>
      <c r="C31" s="30"/>
      <c r="D31" s="17"/>
      <c r="E31" s="17"/>
      <c r="F31" s="17"/>
      <c r="G31" s="17"/>
      <c r="H31" s="17"/>
      <c r="I31" s="30"/>
      <c r="J31" s="17"/>
      <c r="K31" s="17"/>
      <c r="L31" s="17"/>
      <c r="M31" s="17"/>
      <c r="N31" s="17"/>
      <c r="O31" s="17"/>
      <c r="P31" s="17"/>
      <c r="Q31" s="17"/>
      <c r="R31" s="17"/>
      <c r="S31" s="17"/>
      <c r="T31" s="17"/>
      <c r="U31" s="17"/>
      <c r="V31" s="17"/>
      <c r="W31" s="17"/>
      <c r="X31" s="17"/>
      <c r="Y31" s="17"/>
      <c r="Z31" s="17"/>
    </row>
    <row r="32" ht="14.25" customHeight="1">
      <c r="A32" s="17"/>
      <c r="B32" s="17" t="s">
        <v>80</v>
      </c>
      <c r="C32" s="33">
        <f t="array" ref="C32:D33">MINVERSE(MMULT(TRANSPOSE(F17:G28),F17:G28))</f>
        <v>2.43522239</v>
      </c>
      <c r="D32" s="34">
        <v>-6.113233698055173</v>
      </c>
      <c r="F32" s="17" t="s">
        <v>81</v>
      </c>
      <c r="G32" s="35">
        <f t="array" ref="G32:G33">MMULT(C32:D33,MMULT(TRANSPOSE(F17:G28),I17:I28))</f>
        <v>0.3619785027</v>
      </c>
      <c r="H32" s="17"/>
      <c r="I32" s="17"/>
      <c r="J32" s="17"/>
      <c r="K32" s="17"/>
      <c r="L32" s="17" t="s">
        <v>82</v>
      </c>
      <c r="M32" s="29">
        <f>C30/C29</f>
        <v>0.8333333333</v>
      </c>
      <c r="N32" s="17"/>
      <c r="O32" s="17"/>
      <c r="P32" s="17"/>
      <c r="Q32" s="17"/>
      <c r="R32" s="17"/>
      <c r="S32" s="17"/>
      <c r="T32" s="17"/>
      <c r="U32" s="17"/>
      <c r="V32" s="17"/>
      <c r="W32" s="17"/>
      <c r="X32" s="17"/>
      <c r="Y32" s="17"/>
      <c r="Z32" s="17"/>
    </row>
    <row r="33" ht="12.0" customHeight="1">
      <c r="A33" s="17"/>
      <c r="B33" s="17"/>
      <c r="C33" s="36">
        <v>-6.113233698055173</v>
      </c>
      <c r="D33" s="37">
        <v>18.846049883790016</v>
      </c>
      <c r="G33" s="38">
        <v>-1.0052668781729954</v>
      </c>
      <c r="H33" s="17"/>
      <c r="I33" s="17"/>
      <c r="J33" s="17"/>
      <c r="K33" s="17"/>
      <c r="L33" s="17"/>
      <c r="M33" s="17"/>
      <c r="N33" s="17"/>
      <c r="O33" s="17"/>
      <c r="P33" s="17"/>
      <c r="Q33" s="17"/>
      <c r="R33" s="17"/>
      <c r="S33" s="17"/>
      <c r="T33" s="17"/>
      <c r="U33" s="17"/>
      <c r="V33" s="17"/>
      <c r="W33" s="17"/>
      <c r="X33" s="17"/>
      <c r="Y33" s="17"/>
      <c r="Z33" s="17"/>
    </row>
    <row r="34" ht="12.0" customHeight="1">
      <c r="A34" s="17"/>
      <c r="B34" s="17"/>
      <c r="C34" s="17"/>
      <c r="D34" s="17"/>
      <c r="J34" s="17"/>
      <c r="K34" s="17"/>
      <c r="L34" s="17"/>
      <c r="M34" s="17"/>
      <c r="N34" s="17"/>
      <c r="P34" s="17"/>
      <c r="Q34" s="17"/>
      <c r="R34" s="17"/>
      <c r="S34" s="17"/>
      <c r="T34" s="17"/>
      <c r="U34" s="17"/>
      <c r="V34" s="17"/>
      <c r="W34" s="17"/>
      <c r="X34" s="17"/>
      <c r="Y34" s="17"/>
      <c r="Z34" s="17"/>
    </row>
    <row r="35" ht="12.0" customHeight="1">
      <c r="A35" s="17"/>
      <c r="B35" s="17"/>
      <c r="C35" s="17" t="s">
        <v>83</v>
      </c>
      <c r="D35" s="17"/>
      <c r="E35" s="17" t="s">
        <v>84</v>
      </c>
      <c r="F35" s="17"/>
      <c r="G35" s="17" t="s">
        <v>85</v>
      </c>
      <c r="H35" s="17"/>
      <c r="I35" s="17"/>
      <c r="J35" s="17"/>
      <c r="K35" s="17"/>
      <c r="L35" s="17"/>
      <c r="M35" s="17"/>
      <c r="N35" s="17"/>
      <c r="O35" s="17"/>
      <c r="P35" s="17"/>
      <c r="Q35" s="17"/>
      <c r="R35" s="17"/>
      <c r="S35" s="17"/>
      <c r="T35" s="17"/>
      <c r="U35" s="17"/>
      <c r="V35" s="17"/>
      <c r="W35" s="17"/>
      <c r="X35" s="17"/>
      <c r="Y35" s="17"/>
      <c r="Z35" s="17"/>
    </row>
    <row r="36" ht="12.0" customHeight="1">
      <c r="A36" s="17"/>
      <c r="B36" s="17" t="s">
        <v>86</v>
      </c>
      <c r="C36" s="39">
        <f t="shared" ref="C36:C37" si="8">C12+G32</f>
        <v>0.06197850268</v>
      </c>
      <c r="D36" s="17" t="s">
        <v>61</v>
      </c>
      <c r="E36" s="39">
        <f>SQRT(C32)</f>
        <v>1.56051991</v>
      </c>
      <c r="F36" s="17" t="s">
        <v>61</v>
      </c>
      <c r="G36" s="29">
        <f t="shared" ref="G36:G37" si="9">TINV(0.05,C$30)*E36</f>
        <v>3.477055041</v>
      </c>
      <c r="H36" s="17"/>
      <c r="I36" s="17"/>
      <c r="J36" s="17"/>
      <c r="K36" s="17" t="s">
        <v>87</v>
      </c>
      <c r="L36" s="17"/>
      <c r="M36" s="17"/>
      <c r="N36" s="17"/>
      <c r="O36" s="17"/>
      <c r="P36" s="17"/>
      <c r="Q36" s="17"/>
      <c r="R36" s="17"/>
      <c r="S36" s="17"/>
      <c r="T36" s="17"/>
      <c r="U36" s="17"/>
      <c r="V36" s="17"/>
      <c r="W36" s="17"/>
      <c r="X36" s="17"/>
      <c r="Y36" s="17"/>
      <c r="Z36" s="17"/>
    </row>
    <row r="37" ht="12.0" customHeight="1">
      <c r="A37" s="17"/>
      <c r="B37" s="17" t="s">
        <v>88</v>
      </c>
      <c r="C37" s="39">
        <f t="shared" si="8"/>
        <v>-4.105266878</v>
      </c>
      <c r="D37" s="17" t="s">
        <v>64</v>
      </c>
      <c r="E37" s="39">
        <f>SQRT(D33)</f>
        <v>4.341203737</v>
      </c>
      <c r="F37" s="17" t="s">
        <v>64</v>
      </c>
      <c r="G37" s="29">
        <f t="shared" si="9"/>
        <v>9.67280471</v>
      </c>
      <c r="H37" s="17"/>
      <c r="I37" s="17"/>
      <c r="J37" s="17"/>
      <c r="K37" s="30">
        <f>D32/(SQRT(C32)*SQRT(D33))</f>
        <v>-0.9023842699</v>
      </c>
      <c r="L37" s="17"/>
      <c r="M37" s="17"/>
      <c r="N37" s="17"/>
      <c r="O37" s="17"/>
      <c r="P37" s="17"/>
      <c r="Q37" s="17"/>
      <c r="R37" s="17"/>
      <c r="S37" s="17"/>
      <c r="T37" s="17"/>
      <c r="U37" s="17"/>
      <c r="V37" s="17"/>
      <c r="W37" s="17"/>
      <c r="X37" s="17"/>
      <c r="Y37" s="17"/>
      <c r="Z37" s="17"/>
    </row>
    <row r="38" ht="12.0" customHeight="1">
      <c r="A38" s="17"/>
      <c r="B38" s="17"/>
      <c r="C38" s="40"/>
      <c r="D38" s="17"/>
      <c r="E38" s="17"/>
      <c r="F38" s="17"/>
      <c r="G38" s="17"/>
      <c r="H38" s="17"/>
      <c r="I38" s="17"/>
      <c r="J38" s="17"/>
      <c r="K38" s="17"/>
      <c r="L38" s="17"/>
      <c r="M38" s="17"/>
      <c r="N38" s="17"/>
      <c r="O38" s="17"/>
      <c r="P38" s="17"/>
      <c r="Q38" s="17"/>
      <c r="R38" s="17"/>
      <c r="S38" s="17"/>
      <c r="T38" s="17"/>
      <c r="U38" s="17"/>
      <c r="V38" s="17"/>
      <c r="W38" s="17"/>
      <c r="X38" s="17"/>
      <c r="Y38" s="17"/>
      <c r="Z38" s="17"/>
    </row>
    <row r="39" ht="12.0" customHeight="1">
      <c r="A39" s="17" t="s">
        <v>89</v>
      </c>
      <c r="B39" s="17"/>
      <c r="C39" s="17"/>
      <c r="D39" s="6">
        <v>654.321</v>
      </c>
      <c r="E39" s="17" t="s">
        <v>90</v>
      </c>
      <c r="F39" s="17"/>
      <c r="G39" s="17"/>
      <c r="H39" s="17"/>
      <c r="I39" s="17"/>
      <c r="J39" s="17"/>
      <c r="K39" s="17"/>
      <c r="L39" s="17"/>
      <c r="M39" s="17"/>
      <c r="N39" s="17"/>
      <c r="O39" s="17"/>
      <c r="P39" s="17"/>
      <c r="Q39" s="17"/>
      <c r="R39" s="17"/>
      <c r="S39" s="17"/>
      <c r="T39" s="17"/>
      <c r="U39" s="17"/>
      <c r="V39" s="17"/>
      <c r="W39" s="17"/>
      <c r="X39" s="17"/>
      <c r="Y39" s="17"/>
      <c r="Z39" s="17"/>
    </row>
    <row r="40" ht="12.0" customHeight="1">
      <c r="A40" s="17"/>
      <c r="B40" s="17"/>
      <c r="C40" s="17"/>
      <c r="D40" s="23">
        <f>D39+C36/1000+C37*D39/1000000</f>
        <v>654.3183758</v>
      </c>
      <c r="E40" s="17" t="s">
        <v>91</v>
      </c>
      <c r="F40" s="17"/>
      <c r="G40" s="17"/>
      <c r="H40" s="17"/>
      <c r="I40" s="17"/>
      <c r="J40" s="17"/>
      <c r="K40" s="17"/>
      <c r="L40" s="17"/>
      <c r="M40" s="17"/>
      <c r="N40" s="17"/>
      <c r="O40" s="17"/>
      <c r="P40" s="17"/>
      <c r="Q40" s="17"/>
      <c r="R40" s="17"/>
      <c r="S40" s="17"/>
      <c r="T40" s="17"/>
      <c r="U40" s="17"/>
      <c r="V40" s="17"/>
      <c r="W40" s="17"/>
      <c r="X40" s="17"/>
      <c r="Y40" s="17"/>
      <c r="Z40" s="17"/>
    </row>
    <row r="41" ht="12.0"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ht="12.75" customHeight="1">
      <c r="A42" s="15" t="s">
        <v>92</v>
      </c>
      <c r="B42" s="17"/>
      <c r="C42" s="17"/>
      <c r="D42" s="17"/>
      <c r="E42" s="17"/>
      <c r="F42" s="17"/>
      <c r="G42" s="29"/>
      <c r="H42" s="17"/>
      <c r="I42" s="17"/>
      <c r="J42" s="17"/>
      <c r="K42" s="17"/>
      <c r="L42" s="17"/>
      <c r="M42" s="17"/>
      <c r="N42" s="17"/>
      <c r="O42" s="17"/>
      <c r="P42" s="17"/>
      <c r="Q42" s="17"/>
      <c r="R42" s="17"/>
      <c r="S42" s="17"/>
      <c r="T42" s="17"/>
      <c r="U42" s="17"/>
      <c r="V42" s="17"/>
      <c r="W42" s="17"/>
      <c r="X42" s="17"/>
      <c r="Y42" s="17"/>
      <c r="Z42" s="17"/>
    </row>
    <row r="43" ht="12.75" customHeight="1">
      <c r="A43" s="17"/>
      <c r="B43" s="20" t="s">
        <v>54</v>
      </c>
      <c r="C43" s="19">
        <v>0.0</v>
      </c>
      <c r="D43" s="17" t="s">
        <v>55</v>
      </c>
      <c r="E43" s="17"/>
      <c r="F43" s="15"/>
      <c r="G43" s="17"/>
      <c r="H43" s="17"/>
      <c r="I43" s="17"/>
      <c r="J43" s="17"/>
      <c r="K43" s="17"/>
      <c r="L43" s="17"/>
      <c r="M43" s="17"/>
      <c r="N43" s="17"/>
      <c r="O43" s="17"/>
      <c r="P43" s="17"/>
      <c r="Q43" s="17"/>
      <c r="R43" s="17"/>
      <c r="S43" s="17"/>
      <c r="T43" s="17"/>
      <c r="U43" s="17"/>
      <c r="V43" s="17"/>
      <c r="W43" s="17"/>
      <c r="X43" s="17"/>
      <c r="Y43" s="17"/>
      <c r="Z43" s="17"/>
    </row>
    <row r="44" ht="12.75" customHeight="1">
      <c r="A44" s="17"/>
      <c r="B44" s="20" t="s">
        <v>56</v>
      </c>
      <c r="C44" s="19">
        <v>202.078</v>
      </c>
      <c r="D44" s="17" t="s">
        <v>55</v>
      </c>
      <c r="E44" s="17"/>
      <c r="F44" s="15"/>
      <c r="G44" s="17"/>
      <c r="H44" s="17"/>
      <c r="I44" s="17"/>
      <c r="J44" s="17"/>
      <c r="K44" s="17"/>
      <c r="L44" s="17"/>
      <c r="M44" s="17"/>
      <c r="N44" s="17"/>
      <c r="O44" s="17"/>
      <c r="P44" s="17"/>
      <c r="Q44" s="17"/>
      <c r="R44" s="17"/>
      <c r="S44" s="17"/>
      <c r="T44" s="17"/>
      <c r="U44" s="17"/>
      <c r="V44" s="17"/>
      <c r="W44" s="17"/>
      <c r="X44" s="17"/>
      <c r="Y44" s="17"/>
      <c r="Z44" s="17"/>
    </row>
    <row r="45" ht="12.0" customHeight="1">
      <c r="A45" s="17"/>
      <c r="B45" s="20" t="s">
        <v>57</v>
      </c>
      <c r="C45" s="19">
        <v>458.731</v>
      </c>
      <c r="D45" s="17" t="s">
        <v>55</v>
      </c>
      <c r="E45" s="17"/>
      <c r="F45" s="17"/>
      <c r="G45" s="17"/>
      <c r="H45" s="17"/>
      <c r="I45" s="17"/>
      <c r="J45" s="17"/>
      <c r="K45" s="17"/>
      <c r="L45" s="17"/>
      <c r="M45" s="17"/>
      <c r="N45" s="17"/>
      <c r="O45" s="17"/>
      <c r="P45" s="17"/>
      <c r="Q45" s="17"/>
      <c r="R45" s="17"/>
      <c r="S45" s="17"/>
      <c r="T45" s="17"/>
      <c r="U45" s="17"/>
      <c r="V45" s="17"/>
      <c r="W45" s="17"/>
      <c r="X45" s="17"/>
      <c r="Y45" s="17"/>
      <c r="Z45" s="17"/>
    </row>
    <row r="46" ht="12.0" customHeight="1">
      <c r="A46" s="17"/>
      <c r="B46" s="20" t="s">
        <v>58</v>
      </c>
      <c r="C46" s="19">
        <v>605.008</v>
      </c>
      <c r="D46" s="17" t="s">
        <v>55</v>
      </c>
      <c r="E46" s="17"/>
      <c r="F46" s="17"/>
      <c r="G46" s="17"/>
      <c r="H46" s="17"/>
      <c r="I46" s="17"/>
      <c r="J46" s="17"/>
      <c r="K46" s="17"/>
      <c r="L46" s="17"/>
      <c r="M46" s="17"/>
      <c r="N46" s="17"/>
      <c r="O46" s="17"/>
      <c r="P46" s="17"/>
      <c r="Q46" s="17"/>
      <c r="R46" s="17"/>
      <c r="S46" s="17"/>
      <c r="T46" s="17"/>
      <c r="U46" s="17"/>
      <c r="V46" s="17"/>
      <c r="W46" s="17"/>
      <c r="X46" s="17"/>
      <c r="Y46" s="17"/>
      <c r="Z46" s="17"/>
    </row>
    <row r="47" ht="12.0" customHeight="1">
      <c r="A47" s="17" t="s">
        <v>59</v>
      </c>
      <c r="B47" s="17"/>
      <c r="C47" s="6"/>
      <c r="D47" s="17"/>
      <c r="E47" s="17"/>
      <c r="F47" s="17"/>
      <c r="G47" s="17"/>
      <c r="H47" s="17"/>
      <c r="I47" s="17"/>
      <c r="J47" s="17"/>
      <c r="K47" s="17"/>
      <c r="L47" s="17"/>
      <c r="M47" s="17"/>
      <c r="N47" s="17"/>
      <c r="O47" s="17"/>
      <c r="P47" s="17"/>
      <c r="Q47" s="17"/>
      <c r="R47" s="17"/>
      <c r="S47" s="17"/>
      <c r="T47" s="17"/>
      <c r="U47" s="17"/>
      <c r="V47" s="17"/>
      <c r="W47" s="17"/>
      <c r="X47" s="17"/>
      <c r="Y47" s="17"/>
      <c r="Z47" s="17"/>
    </row>
    <row r="48" ht="12.0" customHeight="1">
      <c r="A48" s="17" t="s">
        <v>60</v>
      </c>
      <c r="B48" s="17"/>
      <c r="C48" s="24">
        <v>-0.3</v>
      </c>
      <c r="D48" s="17" t="s">
        <v>61</v>
      </c>
      <c r="E48" s="17"/>
      <c r="F48" s="17">
        <f>C48/1000</f>
        <v>-0.0003</v>
      </c>
      <c r="G48" s="17" t="s">
        <v>62</v>
      </c>
      <c r="H48" s="17"/>
      <c r="I48" s="17"/>
      <c r="J48" s="17"/>
      <c r="K48" s="17"/>
      <c r="L48" s="17"/>
      <c r="M48" s="17"/>
      <c r="N48" s="17"/>
      <c r="O48" s="17"/>
      <c r="P48" s="17"/>
      <c r="Q48" s="17"/>
      <c r="R48" s="17"/>
      <c r="S48" s="17"/>
      <c r="T48" s="17"/>
      <c r="U48" s="17"/>
      <c r="V48" s="17"/>
      <c r="W48" s="17"/>
      <c r="X48" s="17"/>
      <c r="Y48" s="17"/>
      <c r="Z48" s="17"/>
    </row>
    <row r="49" ht="12.0" customHeight="1">
      <c r="A49" s="17" t="s">
        <v>63</v>
      </c>
      <c r="B49" s="17"/>
      <c r="C49" s="25">
        <v>-3.1</v>
      </c>
      <c r="D49" s="17" t="s">
        <v>64</v>
      </c>
      <c r="E49" s="17"/>
      <c r="F49" s="17">
        <f>C49/1000000</f>
        <v>-0.0000031</v>
      </c>
      <c r="G49" s="17" t="s">
        <v>65</v>
      </c>
      <c r="H49" s="17"/>
      <c r="I49" s="17"/>
      <c r="J49" s="17"/>
      <c r="K49" s="17"/>
      <c r="L49" s="17"/>
      <c r="M49" s="17"/>
      <c r="N49" s="17"/>
      <c r="O49" s="17"/>
      <c r="P49" s="17"/>
      <c r="Q49" s="17"/>
      <c r="R49" s="17"/>
      <c r="S49" s="17"/>
      <c r="T49" s="17"/>
      <c r="U49" s="17"/>
      <c r="V49" s="17"/>
      <c r="W49" s="17"/>
      <c r="X49" s="17"/>
      <c r="Y49" s="17"/>
      <c r="Z49" s="17"/>
    </row>
    <row r="50" ht="12.0" customHeight="1">
      <c r="A50" s="17" t="s">
        <v>66</v>
      </c>
      <c r="B50" s="17"/>
      <c r="C50" s="26">
        <v>2.0</v>
      </c>
      <c r="D50" s="17" t="s">
        <v>67</v>
      </c>
      <c r="E50" s="26">
        <v>0.7</v>
      </c>
      <c r="F50" s="17" t="s">
        <v>64</v>
      </c>
      <c r="G50" s="17"/>
      <c r="H50" s="17"/>
      <c r="I50" s="17"/>
      <c r="J50" s="17"/>
      <c r="K50" s="17"/>
      <c r="L50" s="17"/>
      <c r="M50" s="17"/>
      <c r="N50" s="17"/>
      <c r="O50" s="17"/>
      <c r="P50" s="17"/>
      <c r="Q50" s="17"/>
      <c r="R50" s="17"/>
      <c r="S50" s="17"/>
      <c r="T50" s="17"/>
      <c r="U50" s="17"/>
      <c r="V50" s="17"/>
      <c r="W50" s="17"/>
      <c r="X50" s="17"/>
      <c r="Y50" s="17"/>
      <c r="Z50" s="17"/>
    </row>
    <row r="51" ht="12.75" customHeight="1">
      <c r="A51" s="15" t="s">
        <v>68</v>
      </c>
      <c r="B51" s="17"/>
      <c r="C51" s="17"/>
      <c r="D51" s="17"/>
      <c r="E51" s="17"/>
      <c r="F51" s="15"/>
      <c r="G51" s="17"/>
      <c r="H51" s="17"/>
      <c r="I51" s="17"/>
      <c r="J51" s="17"/>
      <c r="K51" s="17" t="s">
        <v>69</v>
      </c>
      <c r="L51" s="17"/>
      <c r="M51" s="17"/>
      <c r="N51" s="17"/>
      <c r="O51" s="17"/>
      <c r="P51" s="17"/>
      <c r="Q51" s="17"/>
      <c r="R51" s="17"/>
      <c r="S51" s="17"/>
      <c r="T51" s="17"/>
      <c r="U51" s="17"/>
      <c r="V51" s="17"/>
      <c r="W51" s="17"/>
      <c r="X51" s="17"/>
      <c r="Y51" s="17"/>
      <c r="Z51" s="17"/>
    </row>
    <row r="52" ht="12.75" customHeight="1">
      <c r="A52" s="27" t="s">
        <v>16</v>
      </c>
      <c r="B52" s="17" t="s">
        <v>17</v>
      </c>
      <c r="C52" s="17" t="s">
        <v>70</v>
      </c>
      <c r="D52" s="17" t="s">
        <v>71</v>
      </c>
      <c r="E52" s="17" t="s">
        <v>72</v>
      </c>
      <c r="F52" s="15" t="s">
        <v>73</v>
      </c>
      <c r="G52" s="17"/>
      <c r="H52" s="17"/>
      <c r="I52" s="20" t="s">
        <v>74</v>
      </c>
      <c r="J52" s="17"/>
      <c r="K52" s="20" t="s">
        <v>75</v>
      </c>
      <c r="L52" s="17"/>
      <c r="M52" s="20" t="s">
        <v>76</v>
      </c>
      <c r="N52" s="20"/>
      <c r="O52" s="15"/>
      <c r="P52" s="17"/>
      <c r="Q52" s="17"/>
      <c r="R52" s="17"/>
      <c r="S52" s="17"/>
      <c r="T52" s="17"/>
      <c r="U52" s="17"/>
      <c r="V52" s="17"/>
      <c r="W52" s="17"/>
      <c r="X52" s="17"/>
      <c r="Y52" s="17"/>
      <c r="Z52" s="17"/>
    </row>
    <row r="53" ht="12.0" customHeight="1">
      <c r="A53" s="18">
        <v>1.0</v>
      </c>
      <c r="B53" s="17">
        <v>2.0</v>
      </c>
      <c r="C53" s="19">
        <v>202.0784</v>
      </c>
      <c r="D53" s="22">
        <f>C44-C43</f>
        <v>202.078</v>
      </c>
      <c r="E53" s="28">
        <f t="shared" ref="E53:E58" si="10">C$50+E$50*D53/1000</f>
        <v>2.1414546</v>
      </c>
      <c r="F53" s="29">
        <f t="shared" ref="F53:F58" si="11">-1/E53</f>
        <v>-0.4669723094</v>
      </c>
      <c r="G53" s="30">
        <f t="shared" ref="G53:G58" si="12">(-D53/1000)/E53</f>
        <v>-0.09436483034</v>
      </c>
      <c r="H53" s="17"/>
      <c r="I53" s="29">
        <f t="shared" ref="I53:I58" si="13">(-1000*(D53-F$48-F$49*D53-C53))/E53</f>
        <v>-0.2458337431</v>
      </c>
      <c r="J53" s="17"/>
      <c r="K53" s="29">
        <f t="shared" ref="K53:K58" si="14">M53*E53</f>
        <v>0.4047914715</v>
      </c>
      <c r="L53" s="29" t="s">
        <v>61</v>
      </c>
      <c r="M53" s="31">
        <f t="array" ref="M53:M58">MMULT(F53:G58,G62:G63)-I53:I58</f>
        <v>0.1890264082</v>
      </c>
      <c r="N53" s="32"/>
      <c r="O53" s="17"/>
      <c r="P53" s="17"/>
      <c r="Q53" s="17"/>
      <c r="R53" s="17"/>
      <c r="S53" s="17"/>
      <c r="T53" s="17"/>
      <c r="U53" s="17"/>
      <c r="V53" s="17"/>
      <c r="W53" s="17"/>
      <c r="X53" s="17"/>
      <c r="Y53" s="17"/>
      <c r="Z53" s="17"/>
    </row>
    <row r="54" ht="12.0" customHeight="1">
      <c r="A54" s="18">
        <v>1.0</v>
      </c>
      <c r="B54" s="17">
        <v>3.0</v>
      </c>
      <c r="C54" s="19">
        <v>458.7348</v>
      </c>
      <c r="D54" s="22">
        <f>C45-C43</f>
        <v>458.731</v>
      </c>
      <c r="E54" s="28">
        <f t="shared" si="10"/>
        <v>2.3211117</v>
      </c>
      <c r="F54" s="29">
        <f t="shared" si="11"/>
        <v>-0.4308280381</v>
      </c>
      <c r="G54" s="30">
        <f t="shared" si="12"/>
        <v>-0.1976341768</v>
      </c>
      <c r="H54" s="17"/>
      <c r="I54" s="29">
        <f t="shared" si="13"/>
        <v>0.8952321855</v>
      </c>
      <c r="J54" s="17"/>
      <c r="K54" s="29">
        <f t="shared" si="14"/>
        <v>-2.012792587</v>
      </c>
      <c r="L54" s="29"/>
      <c r="M54" s="31">
        <v>-0.8671674812221833</v>
      </c>
      <c r="N54" s="32"/>
      <c r="O54" s="17"/>
      <c r="P54" s="17"/>
      <c r="Q54" s="17"/>
      <c r="R54" s="17"/>
      <c r="S54" s="17"/>
      <c r="T54" s="17"/>
      <c r="U54" s="17"/>
      <c r="V54" s="17"/>
      <c r="W54" s="17"/>
      <c r="X54" s="17"/>
      <c r="Y54" s="17"/>
      <c r="Z54" s="17"/>
    </row>
    <row r="55" ht="12.0" customHeight="1">
      <c r="A55" s="18">
        <v>1.0</v>
      </c>
      <c r="B55" s="17">
        <v>4.0</v>
      </c>
      <c r="C55" s="19">
        <v>605.0083</v>
      </c>
      <c r="D55" s="22">
        <f>C46-C43</f>
        <v>605.008</v>
      </c>
      <c r="E55" s="28">
        <f t="shared" si="10"/>
        <v>2.4235056</v>
      </c>
      <c r="F55" s="29">
        <f t="shared" si="11"/>
        <v>-0.4126254134</v>
      </c>
      <c r="G55" s="30">
        <f t="shared" si="12"/>
        <v>-0.2496416761</v>
      </c>
      <c r="H55" s="17"/>
      <c r="I55" s="29">
        <f t="shared" si="13"/>
        <v>-0.7738891959</v>
      </c>
      <c r="J55" s="17"/>
      <c r="K55" s="29">
        <f t="shared" si="14"/>
        <v>2.04712628</v>
      </c>
      <c r="L55" s="29"/>
      <c r="M55" s="31">
        <v>0.8446963273890635</v>
      </c>
      <c r="N55" s="32"/>
      <c r="O55" s="17"/>
      <c r="P55" s="17"/>
      <c r="Q55" s="17"/>
      <c r="R55" s="17"/>
      <c r="S55" s="17"/>
      <c r="T55" s="17"/>
      <c r="U55" s="17"/>
      <c r="V55" s="17"/>
      <c r="W55" s="17"/>
      <c r="X55" s="17"/>
      <c r="Y55" s="17"/>
      <c r="Z55" s="17"/>
    </row>
    <row r="56" ht="12.0" customHeight="1">
      <c r="A56" s="18">
        <v>2.0</v>
      </c>
      <c r="B56" s="17">
        <v>3.0</v>
      </c>
      <c r="C56" s="19">
        <v>256.6573</v>
      </c>
      <c r="D56" s="22">
        <f>C45-C44</f>
        <v>256.653</v>
      </c>
      <c r="E56" s="28">
        <f t="shared" si="10"/>
        <v>2.1796571</v>
      </c>
      <c r="F56" s="29">
        <f t="shared" si="11"/>
        <v>-0.4587877607</v>
      </c>
      <c r="G56" s="30">
        <f t="shared" si="12"/>
        <v>-0.1177492551</v>
      </c>
      <c r="H56" s="17"/>
      <c r="I56" s="29">
        <f t="shared" si="13"/>
        <v>1.470128352</v>
      </c>
      <c r="J56" s="17"/>
      <c r="K56" s="29">
        <f t="shared" si="14"/>
        <v>-3.286306431</v>
      </c>
      <c r="L56" s="29"/>
      <c r="M56" s="31">
        <v>-1.5077171684738762</v>
      </c>
      <c r="N56" s="32"/>
      <c r="O56" s="17"/>
      <c r="P56" s="17"/>
      <c r="Q56" s="17"/>
      <c r="R56" s="17"/>
      <c r="S56" s="17"/>
      <c r="T56" s="17"/>
      <c r="U56" s="17"/>
      <c r="V56" s="17"/>
      <c r="W56" s="17"/>
      <c r="X56" s="17"/>
      <c r="Y56" s="17"/>
      <c r="Z56" s="17"/>
    </row>
    <row r="57" ht="12.0" customHeight="1">
      <c r="A57" s="18">
        <v>2.0</v>
      </c>
      <c r="B57" s="17">
        <v>4.0</v>
      </c>
      <c r="C57" s="19">
        <v>402.931</v>
      </c>
      <c r="D57" s="22">
        <f>C46-C44</f>
        <v>402.93</v>
      </c>
      <c r="E57" s="28">
        <f t="shared" si="10"/>
        <v>2.282051</v>
      </c>
      <c r="F57" s="29">
        <f t="shared" si="11"/>
        <v>-0.4382023014</v>
      </c>
      <c r="G57" s="30">
        <f t="shared" si="12"/>
        <v>-0.1765648533</v>
      </c>
      <c r="H57" s="17"/>
      <c r="I57" s="29">
        <f t="shared" si="13"/>
        <v>-0.2406094343</v>
      </c>
      <c r="J57" s="17"/>
      <c r="K57" s="29">
        <f t="shared" si="14"/>
        <v>0.5736124352</v>
      </c>
      <c r="L57" s="29"/>
      <c r="M57" s="31">
        <v>0.2513582891830853</v>
      </c>
      <c r="N57" s="32"/>
      <c r="O57" s="17"/>
      <c r="P57" s="17"/>
      <c r="Q57" s="17"/>
      <c r="R57" s="17"/>
      <c r="S57" s="17"/>
      <c r="T57" s="17"/>
      <c r="U57" s="17"/>
      <c r="V57" s="17"/>
      <c r="W57" s="17"/>
      <c r="X57" s="17"/>
      <c r="Y57" s="17"/>
      <c r="Z57" s="17"/>
    </row>
    <row r="58" ht="12.0" customHeight="1">
      <c r="A58" s="18">
        <v>3.0</v>
      </c>
      <c r="B58" s="17">
        <v>4.0</v>
      </c>
      <c r="C58" s="19">
        <v>146.2753</v>
      </c>
      <c r="D58" s="22">
        <f>C46-C45</f>
        <v>146.277</v>
      </c>
      <c r="E58" s="28">
        <f t="shared" si="10"/>
        <v>2.1023939</v>
      </c>
      <c r="F58" s="29">
        <f t="shared" si="11"/>
        <v>-0.4756482598</v>
      </c>
      <c r="G58" s="30">
        <f t="shared" si="12"/>
        <v>-0.0695764005</v>
      </c>
      <c r="H58" s="17"/>
      <c r="I58" s="29">
        <f t="shared" si="13"/>
        <v>-1.166983361</v>
      </c>
      <c r="J58" s="17"/>
      <c r="K58" s="29">
        <f t="shared" si="14"/>
        <v>2.291196493</v>
      </c>
      <c r="L58" s="29"/>
      <c r="M58" s="31">
        <v>1.0898036248798708</v>
      </c>
      <c r="N58" s="32"/>
      <c r="O58" s="17"/>
      <c r="P58" s="17"/>
      <c r="Q58" s="17"/>
      <c r="R58" s="17"/>
      <c r="S58" s="17"/>
      <c r="T58" s="17"/>
      <c r="U58" s="17"/>
      <c r="V58" s="17"/>
      <c r="W58" s="17"/>
      <c r="X58" s="17"/>
      <c r="Y58" s="17"/>
      <c r="Z58" s="17"/>
    </row>
    <row r="59" ht="12.0" customHeight="1">
      <c r="A59" s="17"/>
      <c r="B59" s="27" t="s">
        <v>77</v>
      </c>
      <c r="C59" s="17">
        <f>COUNT(C53:C58)</f>
        <v>6</v>
      </c>
      <c r="D59" s="17"/>
      <c r="E59" s="17"/>
      <c r="F59" s="17"/>
      <c r="G59" s="17"/>
      <c r="H59" s="17"/>
      <c r="I59" s="17"/>
      <c r="J59" s="17"/>
      <c r="K59" s="17"/>
      <c r="L59" s="17"/>
      <c r="M59" s="32"/>
      <c r="N59" s="27"/>
      <c r="O59" s="17"/>
      <c r="P59" s="17"/>
      <c r="Q59" s="17"/>
      <c r="R59" s="17"/>
      <c r="S59" s="17"/>
      <c r="T59" s="17"/>
      <c r="U59" s="17"/>
      <c r="V59" s="17"/>
      <c r="W59" s="17"/>
      <c r="X59" s="17"/>
      <c r="Y59" s="17"/>
      <c r="Z59" s="17"/>
    </row>
    <row r="60" ht="12.0" customHeight="1">
      <c r="A60" s="17"/>
      <c r="B60" s="27" t="s">
        <v>78</v>
      </c>
      <c r="C60" s="17">
        <f>C59-2</f>
        <v>4</v>
      </c>
      <c r="D60" s="17"/>
      <c r="E60" s="17"/>
      <c r="F60" s="17"/>
      <c r="G60" s="17"/>
      <c r="H60" s="17"/>
      <c r="I60" s="30"/>
      <c r="J60" s="17"/>
      <c r="K60" s="17"/>
      <c r="L60" s="27" t="s">
        <v>79</v>
      </c>
      <c r="M60" s="31">
        <f>SUMSQ(M53:M58)/C60</f>
        <v>1.256321575</v>
      </c>
      <c r="N60" s="32"/>
      <c r="O60" s="17"/>
      <c r="P60" s="17"/>
      <c r="Q60" s="17"/>
      <c r="R60" s="17"/>
      <c r="S60" s="17"/>
      <c r="T60" s="17"/>
      <c r="U60" s="17"/>
      <c r="V60" s="17"/>
      <c r="W60" s="17"/>
      <c r="X60" s="17"/>
      <c r="Y60" s="17"/>
      <c r="Z60" s="17"/>
    </row>
    <row r="61" ht="12.0" customHeight="1">
      <c r="A61" s="17"/>
      <c r="B61" s="17"/>
      <c r="C61" s="30"/>
      <c r="D61" s="30"/>
      <c r="E61" s="17"/>
      <c r="F61" s="17"/>
      <c r="G61" s="17"/>
      <c r="H61" s="17"/>
      <c r="I61" s="30"/>
      <c r="J61" s="17"/>
      <c r="K61" s="17"/>
      <c r="L61" s="17"/>
      <c r="M61" s="17"/>
      <c r="N61" s="17"/>
      <c r="O61" s="17"/>
      <c r="P61" s="17"/>
      <c r="Q61" s="17"/>
      <c r="R61" s="17"/>
      <c r="S61" s="17"/>
      <c r="T61" s="17"/>
      <c r="U61" s="17"/>
      <c r="V61" s="17"/>
      <c r="W61" s="17"/>
      <c r="X61" s="17"/>
      <c r="Y61" s="17"/>
      <c r="Z61" s="17"/>
    </row>
    <row r="62" ht="12.0" customHeight="1">
      <c r="A62" s="17"/>
      <c r="B62" s="17" t="s">
        <v>93</v>
      </c>
      <c r="C62" s="33">
        <f t="array" ref="C62:D63">MINVERSE(MMULT(TRANSPOSE(F53:G58),F53:G58))</f>
        <v>4.543440116</v>
      </c>
      <c r="D62" s="34">
        <v>-11.253440053472731</v>
      </c>
      <c r="F62" s="17" t="s">
        <v>81</v>
      </c>
      <c r="G62" s="35">
        <f t="array" ref="G62:G63">MMULT(C62:D63,MMULT(TRANSPOSE(F53:G58),I53:I58))</f>
        <v>0.2687223731</v>
      </c>
      <c r="H62" s="17"/>
      <c r="I62" s="17"/>
      <c r="J62" s="17"/>
      <c r="K62" s="17"/>
      <c r="L62" s="17" t="s">
        <v>82</v>
      </c>
      <c r="M62" s="29">
        <f>C60/C59</f>
        <v>0.6666666667</v>
      </c>
      <c r="N62" s="17"/>
      <c r="O62" s="17"/>
      <c r="P62" s="17"/>
      <c r="Q62" s="17"/>
      <c r="R62" s="17"/>
      <c r="S62" s="17"/>
      <c r="T62" s="17"/>
      <c r="U62" s="17"/>
      <c r="V62" s="17"/>
      <c r="W62" s="17"/>
      <c r="X62" s="17"/>
      <c r="Y62" s="17"/>
      <c r="Z62" s="17"/>
    </row>
    <row r="63" ht="12.0" customHeight="1">
      <c r="A63" s="17"/>
      <c r="B63" s="17"/>
      <c r="C63" s="36">
        <v>-11.253440053472733</v>
      </c>
      <c r="D63" s="37">
        <v>34.1166611197855</v>
      </c>
      <c r="F63" s="17"/>
      <c r="G63" s="38">
        <v>-0.7277983972558164</v>
      </c>
      <c r="H63" s="17"/>
      <c r="I63" s="17"/>
      <c r="J63" s="17"/>
      <c r="K63" s="17"/>
      <c r="L63" s="17"/>
      <c r="M63" s="17"/>
      <c r="N63" s="17"/>
      <c r="O63" s="17"/>
      <c r="P63" s="17"/>
      <c r="Q63" s="17"/>
      <c r="R63" s="17"/>
      <c r="S63" s="17"/>
      <c r="T63" s="17"/>
      <c r="U63" s="17"/>
      <c r="V63" s="17"/>
      <c r="W63" s="17"/>
      <c r="X63" s="17"/>
      <c r="Y63" s="17"/>
      <c r="Z63" s="17"/>
    </row>
    <row r="64" ht="12.0" customHeight="1">
      <c r="A64" s="17"/>
      <c r="B64" s="17"/>
      <c r="C64" s="17"/>
      <c r="D64" s="17"/>
      <c r="J64" s="17"/>
      <c r="K64" s="17"/>
      <c r="L64" s="17"/>
      <c r="M64" s="17"/>
      <c r="N64" s="17"/>
      <c r="P64" s="17"/>
      <c r="Q64" s="17"/>
      <c r="R64" s="17"/>
      <c r="S64" s="17"/>
      <c r="T64" s="17"/>
      <c r="U64" s="17"/>
      <c r="V64" s="17"/>
      <c r="W64" s="17"/>
      <c r="X64" s="17"/>
      <c r="Y64" s="17"/>
      <c r="Z64" s="17"/>
    </row>
    <row r="65" ht="12.0" customHeight="1">
      <c r="A65" s="17"/>
      <c r="B65" s="17"/>
      <c r="C65" s="17" t="s">
        <v>83</v>
      </c>
      <c r="D65" s="17"/>
      <c r="E65" s="17" t="s">
        <v>84</v>
      </c>
      <c r="F65" s="17"/>
      <c r="G65" s="17" t="s">
        <v>85</v>
      </c>
      <c r="H65" s="17"/>
      <c r="I65" s="17"/>
      <c r="J65" s="17"/>
      <c r="K65" s="17"/>
      <c r="L65" s="17"/>
      <c r="M65" s="17"/>
      <c r="N65" s="17"/>
      <c r="O65" s="17"/>
      <c r="P65" s="17"/>
      <c r="Q65" s="17"/>
      <c r="R65" s="17"/>
      <c r="S65" s="17"/>
      <c r="T65" s="17"/>
      <c r="U65" s="17"/>
      <c r="V65" s="17"/>
      <c r="W65" s="17"/>
      <c r="X65" s="17"/>
      <c r="Y65" s="17"/>
      <c r="Z65" s="17"/>
    </row>
    <row r="66" ht="12.0" customHeight="1">
      <c r="A66" s="17"/>
      <c r="B66" s="17" t="s">
        <v>86</v>
      </c>
      <c r="C66" s="39">
        <f t="shared" ref="C66:C67" si="15">C48+G62</f>
        <v>-0.03127762692</v>
      </c>
      <c r="D66" s="17" t="s">
        <v>61</v>
      </c>
      <c r="E66" s="39">
        <f>SQRT(C62)</f>
        <v>2.131534686</v>
      </c>
      <c r="F66" s="17" t="s">
        <v>61</v>
      </c>
      <c r="G66" s="29">
        <f t="shared" ref="G66:G67" si="16">TINV(0.05,C$60)*E66</f>
        <v>5.918089044</v>
      </c>
      <c r="H66" s="17"/>
      <c r="I66" s="17"/>
      <c r="J66" s="17"/>
      <c r="K66" s="17" t="s">
        <v>87</v>
      </c>
      <c r="L66" s="17"/>
      <c r="M66" s="17"/>
      <c r="N66" s="17"/>
      <c r="O66" s="17"/>
      <c r="P66" s="17"/>
      <c r="Q66" s="17"/>
      <c r="R66" s="17"/>
      <c r="S66" s="17"/>
      <c r="T66" s="17"/>
      <c r="U66" s="17"/>
      <c r="V66" s="17"/>
      <c r="W66" s="17"/>
      <c r="X66" s="17"/>
      <c r="Y66" s="17"/>
      <c r="Z66" s="17"/>
    </row>
    <row r="67" ht="12.0" customHeight="1">
      <c r="A67" s="17"/>
      <c r="B67" s="17" t="s">
        <v>88</v>
      </c>
      <c r="C67" s="39">
        <f t="shared" si="15"/>
        <v>-3.827798397</v>
      </c>
      <c r="D67" s="17" t="s">
        <v>64</v>
      </c>
      <c r="E67" s="39">
        <f>SQRT(D63)</f>
        <v>5.840946937</v>
      </c>
      <c r="F67" s="17" t="s">
        <v>64</v>
      </c>
      <c r="G67" s="29">
        <f t="shared" si="16"/>
        <v>16.21706853</v>
      </c>
      <c r="H67" s="17"/>
      <c r="I67" s="17"/>
      <c r="J67" s="17"/>
      <c r="K67" s="30">
        <f>D62/(SQRT(C62)*SQRT(D63))</f>
        <v>-0.9038776272</v>
      </c>
      <c r="L67" s="17"/>
      <c r="M67" s="17"/>
      <c r="N67" s="17"/>
      <c r="O67" s="17"/>
      <c r="P67" s="17"/>
      <c r="Q67" s="17"/>
      <c r="R67" s="17"/>
      <c r="S67" s="17"/>
      <c r="T67" s="17"/>
      <c r="U67" s="17"/>
      <c r="V67" s="17"/>
      <c r="W67" s="17"/>
      <c r="X67" s="17"/>
      <c r="Y67" s="17"/>
      <c r="Z67" s="17"/>
    </row>
    <row r="68" ht="12.0" customHeight="1">
      <c r="A68" s="17"/>
      <c r="B68" s="17"/>
      <c r="C68" s="40"/>
      <c r="D68" s="17"/>
      <c r="E68" s="17"/>
      <c r="F68" s="17"/>
      <c r="G68" s="17"/>
      <c r="H68" s="17"/>
      <c r="I68" s="17"/>
      <c r="J68" s="17"/>
      <c r="K68" s="17"/>
      <c r="L68" s="17"/>
      <c r="M68" s="17"/>
      <c r="N68" s="17"/>
      <c r="O68" s="17"/>
      <c r="P68" s="17"/>
      <c r="Q68" s="17"/>
      <c r="R68" s="17"/>
      <c r="S68" s="17"/>
      <c r="T68" s="17"/>
      <c r="U68" s="17"/>
      <c r="V68" s="17"/>
      <c r="W68" s="17"/>
      <c r="X68" s="17"/>
      <c r="Y68" s="17"/>
      <c r="Z68" s="17"/>
    </row>
    <row r="69" ht="12.0" customHeight="1">
      <c r="A69" s="17" t="s">
        <v>89</v>
      </c>
      <c r="B69" s="17"/>
      <c r="C69" s="17"/>
      <c r="D69" s="6">
        <v>654.321</v>
      </c>
      <c r="E69" s="17" t="s">
        <v>90</v>
      </c>
      <c r="F69" s="17"/>
      <c r="G69" s="17"/>
      <c r="H69" s="17"/>
      <c r="I69" s="17"/>
      <c r="J69" s="17"/>
      <c r="K69" s="17"/>
      <c r="L69" s="17"/>
      <c r="M69" s="17"/>
      <c r="N69" s="17"/>
      <c r="O69" s="17"/>
      <c r="P69" s="17"/>
      <c r="Q69" s="17"/>
      <c r="R69" s="17"/>
      <c r="S69" s="17"/>
      <c r="T69" s="17"/>
      <c r="U69" s="17"/>
      <c r="V69" s="17"/>
      <c r="W69" s="17"/>
      <c r="X69" s="17"/>
      <c r="Y69" s="17"/>
      <c r="Z69" s="17"/>
    </row>
    <row r="70" ht="12.0" customHeight="1">
      <c r="A70" s="17"/>
      <c r="B70" s="17"/>
      <c r="C70" s="17"/>
      <c r="D70" s="23">
        <f>D69+C66/1000+C67*D69/1000000</f>
        <v>654.3184641</v>
      </c>
      <c r="E70" s="17" t="s">
        <v>91</v>
      </c>
      <c r="F70" s="17"/>
      <c r="G70" s="17"/>
      <c r="H70" s="17"/>
      <c r="I70" s="17"/>
      <c r="J70" s="17"/>
      <c r="K70" s="17"/>
      <c r="L70" s="17"/>
      <c r="M70" s="17"/>
      <c r="N70" s="17"/>
      <c r="O70" s="17"/>
      <c r="P70" s="17"/>
      <c r="Q70" s="17"/>
      <c r="R70" s="17"/>
      <c r="S70" s="17"/>
      <c r="T70" s="17"/>
      <c r="U70" s="17"/>
      <c r="V70" s="17"/>
      <c r="W70" s="17"/>
      <c r="X70" s="17"/>
      <c r="Y70" s="17"/>
      <c r="Z70" s="17"/>
    </row>
    <row r="71" ht="12.0"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ht="12.0"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ht="12.0"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ht="12.0"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ht="12.0"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ht="12.0"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ht="12.0"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ht="12.0"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ht="12.0"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ht="12.0"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ht="12.0"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ht="12.0"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ht="12.0"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ht="12.0"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ht="12.0"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ht="12.0"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ht="12.0"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ht="12.0"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ht="12.0"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ht="12.0"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ht="12.0"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ht="12.0"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ht="12.0"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ht="12.0"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ht="12.0"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ht="12.0"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ht="12.0"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ht="12.0"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ht="12.0"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ht="12.0"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12.0"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12.0"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12.0"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12.0"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12.0"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12.0"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12.0"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12.0"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12.0"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12.0"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12.0"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12.0"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12.0"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12.0"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12.0"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12.0"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12.0"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12.0"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12.0"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12.0"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12.0"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12.0"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12.0"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12.0"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12.0"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12.0"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12.0"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12.0"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12.0"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12.0"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12.0"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12.0"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12.0"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12.0"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12.0"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12.0"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12.0"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12.0"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12.0"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2.0"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2.0"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2.0"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2.0"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2.0"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2.0"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2.0"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0"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0"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0"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0"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0"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0"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0"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0"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0"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0"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0"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0"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0"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0"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0"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0"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0"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0"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0"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0"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0"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0"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0"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0"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0"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0"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0"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0"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0"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0"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0"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0"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0"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0"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0"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0"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0"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0"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0"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0"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0"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0"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0"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0"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0"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0"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0"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0"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0"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0"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0"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0"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0"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0"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0"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0"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0"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0"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0"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0"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0"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0"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0"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0"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0"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0"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0"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0"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0"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0"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0"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0"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0"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0"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0"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0"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0"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0"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0"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0"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0"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0"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0"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0"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0"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0"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0"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0"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0"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0"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0"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0"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0"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0"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0"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0"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0"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0"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0"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0"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0"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0"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0"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0"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0"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0"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0"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0"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0"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0"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0"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0"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0"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0"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0"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0"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0"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0"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0"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0"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0"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0"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0"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0"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0"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0"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0"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0"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0"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0"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0"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0"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0"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0"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0"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0"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0"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0"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0"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0"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0"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0"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0"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0"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0"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0"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0"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0"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0"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0"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0"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0"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0"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0"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0"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0"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0"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0"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0"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0"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0"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0"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0"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0"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0"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0"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0"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0"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0"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0"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0"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0"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0"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0"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0"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0"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0"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0"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0"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0"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0"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0"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0"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0"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0"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0"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0"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0"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0"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0"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0"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0"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0"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0"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0"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0"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0"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0"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0"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0"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0"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0"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0"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0"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0"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0"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0"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0"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0"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0"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0"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0"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0"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0"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0"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0"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0"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0"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0"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0"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0"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0"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0"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0"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0"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0"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0"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0"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0"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0"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0"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0"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0"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0"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0"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0"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0"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0"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0"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0"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0"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0"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0"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0"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0"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0"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0"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0"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0"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0"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0"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0"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0"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0"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0"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0"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0"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0"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0"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0"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0"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0"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0"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0"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0"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0"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0"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0"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0"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0"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0"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0"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0"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0"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0"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0"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0"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0"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0"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0"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0"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0"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0"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0"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0"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0"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0"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0"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0"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0"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0"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0"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0"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0"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0"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0"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0"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0"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0"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0"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0"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0"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0"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0"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0"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0"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0"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0"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0"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0"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0"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0"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0"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0"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0"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0"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0"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0"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0"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0"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0"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0"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0"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0"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0"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0"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0"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0"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0"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0"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0"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0"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0"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0"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0"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0"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0"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0"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0"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0"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0"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0"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0"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0"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0"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0"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0"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0"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0"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0"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0"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0"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0"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0"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0"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0"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0"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0"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0"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0"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0"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0"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0"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0"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0"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0"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0"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0"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0"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0"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0"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0"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0"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0"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0"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0"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0"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0"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0"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0"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0"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0"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0"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0"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0"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0"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0"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0"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0"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0"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0"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0"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0"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0"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0"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0"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0"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0"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0"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0"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0"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0"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0"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0"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0"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0"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0"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0"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0"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0"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0"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0"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0"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0"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0"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0"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0"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0"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0"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0"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0"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0"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0"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0"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0"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0"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0"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0"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0"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0"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0"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0"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0"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0"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0"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0"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0"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0"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0"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0"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0"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0"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0"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0"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0"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0"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0"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0"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0"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0"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0"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0"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0"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0"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0"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0"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0"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0"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0"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0"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0"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0"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0"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0"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0"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0"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0"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0"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0"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0"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0"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0"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0"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0"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0"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0"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0"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0"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0"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0"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0"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0"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0"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0"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0"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0"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0"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0"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0"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0"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0"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0"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0"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0"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0"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0"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0"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0"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0"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0"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0"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0"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0"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0"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0"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0"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0"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0"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0"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0"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0"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0"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0"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0"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0"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0"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0"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0"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0"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0"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0"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0"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0"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0"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0"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0"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0"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0"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0"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0"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0"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0"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0"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0"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0"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0"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0"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0"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0"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0"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0"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0"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0"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0"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0"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0"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0"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0"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0"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0"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0"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0"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0"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0"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0"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0"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0"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0"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0"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0"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0"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0"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0"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0"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0"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0"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0"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0"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0"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0"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0"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0"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0"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0"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0"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0"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0"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0"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0"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0"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0"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0"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0"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0"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0"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0"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0"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0"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0"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0"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0"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0"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0"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0"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0"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0"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0"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0"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0"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0"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0"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0"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0"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0"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0"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0"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0"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0"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0"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0"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0"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0"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0"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0"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0"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0"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0"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0"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0"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0"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0"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0"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0"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0"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0"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0"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0"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0"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0"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0"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0"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0"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0"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0"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0"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0"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0"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0"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0"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0"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0"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0"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0"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0"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0"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0"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0"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0"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0"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0"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0"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0"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0"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0"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0"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0"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0"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0"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0"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0"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0"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0"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0"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0"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0"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0"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0"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0"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0"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0"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0"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0"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0"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0"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0"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0"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0"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0"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0"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0"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0"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0"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0"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0"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0"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0"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0"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0"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0"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0"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0"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0"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0"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0"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0"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0"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0"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0"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0"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0"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0"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0"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0"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0"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0"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0"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0"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0"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0"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0"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0"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0"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0"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0"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0"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0"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0"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0"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0"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0"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0"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0"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0"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0"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0"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0"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0"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0"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0"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0"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0"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0"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0"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0"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0"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0"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0"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0"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0"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0"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0"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0"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0"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0"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0"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0"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0"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0"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0"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0"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0"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0"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0"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0"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0"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0"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0"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0"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0"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0"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0"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0"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0"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0"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0"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0"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0"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0"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0"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0"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0"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0"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0"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0"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0"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0"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0"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0"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0"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0"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0"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0"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0"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0"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0"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0"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0"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0"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0"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0"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0"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0"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0"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0"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0"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0"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0"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0"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0"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0"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0"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0"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0"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0"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0"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0"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0"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0"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0"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0"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0"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0"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0"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0"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0"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0"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0"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0"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0"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0"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0"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0"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0"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0"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0"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0"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0"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0"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0"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0"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0"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0"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0"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0"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0"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0"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0"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0"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0"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0"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0"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0"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0"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0"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0"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0"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0"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0"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0"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0"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0"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0"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0"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0"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printOptions/>
  <pageMargins bottom="0.75" footer="0.0" header="0.0" left="0.7" right="0.7" top="0.75"/>
  <pageSetup orientation="landscape"/>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88"/>
    <col customWidth="1" min="2" max="2" width="3.88"/>
    <col customWidth="1" min="3" max="3" width="10.75"/>
    <col customWidth="1" min="4" max="4" width="10.13"/>
    <col customWidth="1" min="5" max="5" width="6.88"/>
    <col customWidth="1" min="6" max="6" width="4.0"/>
    <col customWidth="1" min="7" max="7" width="6.5"/>
    <col customWidth="1" min="8" max="8" width="4.13"/>
    <col customWidth="1" min="9" max="9" width="7.25"/>
    <col customWidth="1" min="10" max="10" width="3.13"/>
    <col customWidth="1" min="11" max="11" width="8.13"/>
    <col customWidth="1" min="12" max="12" width="5.13"/>
    <col customWidth="1" min="13" max="13" width="8.13"/>
    <col customWidth="1" min="14" max="14" width="4.13"/>
    <col customWidth="1" min="15" max="34" width="5.0"/>
    <col customWidth="1" min="35" max="72" width="9.13"/>
  </cols>
  <sheetData>
    <row r="1" ht="12.0" customHeight="1">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row>
    <row r="2" ht="12.0" customHeight="1">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row>
    <row r="3" ht="12.0" customHeight="1">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row>
    <row r="4" ht="12.0"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row>
    <row r="5" ht="12.0" customHeight="1">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row>
    <row r="6" ht="12.75" customHeight="1">
      <c r="A6" s="15" t="s">
        <v>53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row>
    <row r="7" ht="12.75" customHeight="1">
      <c r="A7" s="20" t="s">
        <v>54</v>
      </c>
      <c r="B7" s="17"/>
      <c r="C7" s="19">
        <v>0.0</v>
      </c>
      <c r="D7" s="17" t="s">
        <v>55</v>
      </c>
      <c r="E7" s="17"/>
      <c r="F7" s="15"/>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20" t="s">
        <v>54</v>
      </c>
      <c r="AX7" s="17"/>
      <c r="AY7" s="19">
        <v>0.0</v>
      </c>
      <c r="AZ7" s="17" t="s">
        <v>55</v>
      </c>
      <c r="BA7" s="17"/>
      <c r="BB7" s="15"/>
      <c r="BC7" s="17"/>
      <c r="BD7" s="17"/>
      <c r="BE7" s="17"/>
      <c r="BF7" s="17"/>
      <c r="BG7" s="17"/>
      <c r="BH7" s="17"/>
      <c r="BI7" s="17"/>
      <c r="BJ7" s="17"/>
      <c r="BK7" s="17"/>
      <c r="BL7" s="17"/>
      <c r="BM7" s="17"/>
      <c r="BN7" s="17"/>
      <c r="BO7" s="17"/>
      <c r="BP7" s="17"/>
      <c r="BQ7" s="17"/>
      <c r="BR7" s="17"/>
      <c r="BS7" s="17"/>
      <c r="BT7" s="17"/>
    </row>
    <row r="8" ht="12.75" customHeight="1">
      <c r="A8" s="20" t="s">
        <v>56</v>
      </c>
      <c r="B8" s="17"/>
      <c r="C8" s="19">
        <v>10.0</v>
      </c>
      <c r="D8" s="17" t="s">
        <v>55</v>
      </c>
      <c r="E8" s="17"/>
      <c r="F8" s="15"/>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20" t="s">
        <v>56</v>
      </c>
      <c r="AX8" s="17"/>
      <c r="AY8" s="19">
        <v>10.0</v>
      </c>
      <c r="AZ8" s="17" t="s">
        <v>55</v>
      </c>
      <c r="BA8" s="17"/>
      <c r="BB8" s="15"/>
      <c r="BC8" s="17"/>
      <c r="BD8" s="17"/>
      <c r="BE8" s="17"/>
      <c r="BF8" s="17"/>
      <c r="BG8" s="17"/>
      <c r="BH8" s="17"/>
      <c r="BI8" s="17"/>
      <c r="BJ8" s="17"/>
      <c r="BK8" s="17"/>
      <c r="BL8" s="17"/>
      <c r="BM8" s="17"/>
      <c r="BN8" s="17"/>
      <c r="BO8" s="17"/>
      <c r="BP8" s="17"/>
      <c r="BQ8" s="17"/>
      <c r="BR8" s="17"/>
      <c r="BS8" s="17"/>
      <c r="BT8" s="17"/>
    </row>
    <row r="9" ht="12.0" customHeight="1">
      <c r="A9" s="20" t="s">
        <v>57</v>
      </c>
      <c r="B9" s="17"/>
      <c r="C9" s="19">
        <v>30.0</v>
      </c>
      <c r="D9" s="17" t="s">
        <v>55</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20" t="s">
        <v>57</v>
      </c>
      <c r="AX9" s="17"/>
      <c r="AY9" s="19">
        <v>30.0</v>
      </c>
      <c r="AZ9" s="17" t="s">
        <v>55</v>
      </c>
      <c r="BA9" s="17"/>
      <c r="BB9" s="17"/>
      <c r="BC9" s="17"/>
      <c r="BD9" s="17"/>
      <c r="BE9" s="17"/>
      <c r="BF9" s="17"/>
      <c r="BG9" s="17"/>
      <c r="BH9" s="17"/>
      <c r="BI9" s="17"/>
      <c r="BJ9" s="17"/>
      <c r="BK9" s="17"/>
      <c r="BL9" s="17"/>
      <c r="BM9" s="17"/>
      <c r="BN9" s="17"/>
      <c r="BO9" s="17"/>
      <c r="BP9" s="17"/>
      <c r="BQ9" s="17"/>
      <c r="BR9" s="17"/>
      <c r="BS9" s="17"/>
      <c r="BT9" s="17"/>
    </row>
    <row r="10" ht="12.0" customHeight="1">
      <c r="A10" s="20" t="s">
        <v>58</v>
      </c>
      <c r="B10" s="17"/>
      <c r="C10" s="19">
        <v>60.0</v>
      </c>
      <c r="D10" s="17" t="s">
        <v>55</v>
      </c>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20" t="s">
        <v>58</v>
      </c>
      <c r="AX10" s="17"/>
      <c r="AY10" s="19">
        <v>60.0</v>
      </c>
      <c r="AZ10" s="17" t="s">
        <v>55</v>
      </c>
      <c r="BA10" s="17"/>
      <c r="BB10" s="17"/>
      <c r="BC10" s="17"/>
      <c r="BD10" s="17"/>
      <c r="BE10" s="17"/>
      <c r="BF10" s="17"/>
      <c r="BG10" s="17"/>
      <c r="BH10" s="17"/>
      <c r="BI10" s="17"/>
      <c r="BJ10" s="17"/>
      <c r="BK10" s="17"/>
      <c r="BL10" s="17"/>
      <c r="BM10" s="17"/>
      <c r="BN10" s="17"/>
      <c r="BO10" s="17"/>
      <c r="BP10" s="17"/>
      <c r="BQ10" s="17"/>
      <c r="BR10" s="17"/>
      <c r="BS10" s="17"/>
      <c r="BT10" s="17"/>
    </row>
    <row r="11" ht="12.0" customHeight="1">
      <c r="A11" s="20" t="s">
        <v>94</v>
      </c>
      <c r="B11" s="17"/>
      <c r="C11" s="19">
        <v>99.998</v>
      </c>
      <c r="D11" s="17" t="s">
        <v>55</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20" t="s">
        <v>94</v>
      </c>
      <c r="AX11" s="17"/>
      <c r="AY11" s="19">
        <v>99.998</v>
      </c>
      <c r="AZ11" s="17" t="s">
        <v>55</v>
      </c>
      <c r="BA11" s="17"/>
      <c r="BB11" s="17"/>
      <c r="BC11" s="17"/>
      <c r="BD11" s="17"/>
      <c r="BE11" s="17"/>
      <c r="BF11" s="17"/>
      <c r="BG11" s="17"/>
      <c r="BH11" s="17"/>
      <c r="BI11" s="17"/>
      <c r="BJ11" s="17"/>
      <c r="BK11" s="17"/>
      <c r="BL11" s="17"/>
      <c r="BM11" s="17"/>
      <c r="BN11" s="17"/>
      <c r="BO11" s="17"/>
      <c r="BP11" s="17"/>
      <c r="BQ11" s="17"/>
      <c r="BR11" s="17"/>
      <c r="BS11" s="17"/>
      <c r="BT11" s="17"/>
    </row>
    <row r="12" ht="12.0" customHeight="1">
      <c r="A12" s="17" t="s">
        <v>59</v>
      </c>
      <c r="B12" s="17"/>
      <c r="C12" s="6"/>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t="s">
        <v>95</v>
      </c>
      <c r="AX12" s="17"/>
      <c r="AY12" s="6"/>
      <c r="AZ12" s="17"/>
      <c r="BA12" s="17"/>
      <c r="BB12" s="17"/>
      <c r="BC12" s="17"/>
      <c r="BD12" s="17"/>
      <c r="BE12" s="17"/>
      <c r="BF12" s="17"/>
      <c r="BG12" s="17"/>
      <c r="BH12" s="17"/>
      <c r="BI12" s="17"/>
      <c r="BJ12" s="17"/>
      <c r="BK12" s="17"/>
      <c r="BL12" s="17"/>
      <c r="BM12" s="17"/>
      <c r="BN12" s="17"/>
      <c r="BO12" s="17"/>
      <c r="BP12" s="17"/>
      <c r="BQ12" s="17"/>
      <c r="BR12" s="17"/>
      <c r="BS12" s="17"/>
      <c r="BT12" s="17"/>
    </row>
    <row r="13" ht="12.0" customHeight="1">
      <c r="A13" s="17" t="s">
        <v>60</v>
      </c>
      <c r="B13" s="17"/>
      <c r="C13" s="24">
        <v>0.0</v>
      </c>
      <c r="D13" s="17" t="s">
        <v>61</v>
      </c>
      <c r="E13" s="17"/>
      <c r="F13" s="17">
        <f>C13/1000</f>
        <v>0</v>
      </c>
      <c r="G13" s="17" t="s">
        <v>62</v>
      </c>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t="s">
        <v>96</v>
      </c>
      <c r="AX13" s="17"/>
      <c r="AY13" s="24">
        <v>0.0</v>
      </c>
      <c r="AZ13" s="17" t="s">
        <v>61</v>
      </c>
      <c r="BA13" s="17"/>
      <c r="BB13" s="17">
        <f>AY13/1000</f>
        <v>0</v>
      </c>
      <c r="BC13" s="17" t="s">
        <v>62</v>
      </c>
      <c r="BD13" s="17"/>
      <c r="BE13" s="17"/>
      <c r="BF13" s="17"/>
      <c r="BG13" s="17"/>
      <c r="BH13" s="17"/>
      <c r="BI13" s="17"/>
      <c r="BJ13" s="17"/>
      <c r="BK13" s="17"/>
      <c r="BL13" s="17"/>
      <c r="BM13" s="17"/>
      <c r="BN13" s="17"/>
      <c r="BO13" s="17"/>
      <c r="BP13" s="17"/>
      <c r="BQ13" s="17"/>
      <c r="BR13" s="17"/>
      <c r="BS13" s="17"/>
      <c r="BT13" s="17"/>
    </row>
    <row r="14" ht="12.0" customHeight="1">
      <c r="A14" s="17" t="s">
        <v>63</v>
      </c>
      <c r="B14" s="17"/>
      <c r="C14" s="25">
        <v>0.0</v>
      </c>
      <c r="D14" s="17" t="s">
        <v>64</v>
      </c>
      <c r="E14" s="17"/>
      <c r="F14" s="17">
        <f>C14/1000000</f>
        <v>0</v>
      </c>
      <c r="G14" s="17" t="s">
        <v>65</v>
      </c>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t="s">
        <v>63</v>
      </c>
      <c r="AX14" s="17"/>
      <c r="AY14" s="25">
        <v>0.0</v>
      </c>
      <c r="AZ14" s="17" t="s">
        <v>64</v>
      </c>
      <c r="BA14" s="17"/>
      <c r="BB14" s="17">
        <f>AY14/1000000</f>
        <v>0</v>
      </c>
      <c r="BC14" s="17" t="s">
        <v>65</v>
      </c>
      <c r="BD14" s="17"/>
      <c r="BE14" s="17"/>
      <c r="BF14" s="17"/>
      <c r="BG14" s="17"/>
      <c r="BH14" s="17"/>
      <c r="BI14" s="17"/>
      <c r="BJ14" s="17"/>
      <c r="BK14" s="17"/>
      <c r="BL14" s="17"/>
      <c r="BM14" s="17"/>
      <c r="BN14" s="17"/>
      <c r="BO14" s="17"/>
      <c r="BP14" s="17"/>
      <c r="BQ14" s="17"/>
      <c r="BR14" s="17"/>
      <c r="BS14" s="17"/>
      <c r="BT14" s="17"/>
    </row>
    <row r="15" ht="12.0" customHeight="1">
      <c r="A15" s="17" t="s">
        <v>66</v>
      </c>
      <c r="B15" s="17"/>
      <c r="C15" s="26">
        <v>2.0</v>
      </c>
      <c r="D15" s="17" t="s">
        <v>67</v>
      </c>
      <c r="E15" s="26">
        <v>0.7</v>
      </c>
      <c r="F15" s="17" t="s">
        <v>64</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25"/>
      <c r="AZ15" s="17"/>
      <c r="BA15" s="17"/>
      <c r="BB15" s="17"/>
      <c r="BC15" s="17"/>
      <c r="BD15" s="17"/>
      <c r="BE15" s="17"/>
      <c r="BF15" s="17"/>
      <c r="BG15" s="17"/>
      <c r="BH15" s="17"/>
      <c r="BI15" s="17"/>
      <c r="BJ15" s="17"/>
      <c r="BK15" s="17"/>
      <c r="BL15" s="17"/>
      <c r="BM15" s="17"/>
      <c r="BN15" s="17"/>
      <c r="BO15" s="17"/>
      <c r="BP15" s="17"/>
      <c r="BQ15" s="17"/>
      <c r="BR15" s="17"/>
      <c r="BS15" s="17"/>
      <c r="BT15" s="17"/>
    </row>
    <row r="16" ht="12.75" customHeight="1">
      <c r="A16" s="15" t="s">
        <v>68</v>
      </c>
      <c r="B16" s="17"/>
      <c r="C16" s="17"/>
      <c r="D16" s="17"/>
      <c r="E16" s="17"/>
      <c r="F16" s="15"/>
      <c r="G16" s="17"/>
      <c r="H16" s="17"/>
      <c r="I16" s="17"/>
      <c r="J16" s="17"/>
      <c r="K16" s="17" t="s">
        <v>69</v>
      </c>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5" t="s">
        <v>68</v>
      </c>
      <c r="AX16" s="17"/>
      <c r="AY16" s="17"/>
      <c r="AZ16" s="17"/>
      <c r="BA16" s="17"/>
      <c r="BB16" s="15" t="s">
        <v>97</v>
      </c>
      <c r="BC16" s="17"/>
      <c r="BD16" s="17"/>
      <c r="BE16" s="17"/>
      <c r="BF16" s="17"/>
      <c r="BG16" s="17"/>
      <c r="BH16" s="17"/>
      <c r="BI16" s="17"/>
      <c r="BJ16" s="17"/>
      <c r="BK16" s="17"/>
      <c r="BL16" s="17"/>
      <c r="BM16" s="17"/>
      <c r="BN16" s="17"/>
      <c r="BO16" s="17"/>
      <c r="BP16" s="17"/>
      <c r="BQ16" s="17"/>
      <c r="BR16" s="17"/>
      <c r="BS16" s="17"/>
      <c r="BT16" s="17"/>
    </row>
    <row r="17" ht="12.75" customHeight="1">
      <c r="A17" s="27" t="s">
        <v>16</v>
      </c>
      <c r="B17" s="17" t="s">
        <v>17</v>
      </c>
      <c r="C17" s="17" t="s">
        <v>70</v>
      </c>
      <c r="D17" s="17" t="s">
        <v>71</v>
      </c>
      <c r="E17" s="17" t="s">
        <v>72</v>
      </c>
      <c r="F17" s="15" t="s">
        <v>73</v>
      </c>
      <c r="G17" s="15"/>
      <c r="H17" s="17"/>
      <c r="I17" s="20" t="s">
        <v>74</v>
      </c>
      <c r="J17" s="17"/>
      <c r="K17" s="20" t="s">
        <v>75</v>
      </c>
      <c r="L17" s="17"/>
      <c r="M17" s="20" t="s">
        <v>76</v>
      </c>
      <c r="N17" s="20"/>
      <c r="O17" s="15"/>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27" t="s">
        <v>16</v>
      </c>
      <c r="AX17" s="17" t="s">
        <v>17</v>
      </c>
      <c r="AY17" s="17" t="s">
        <v>70</v>
      </c>
      <c r="AZ17" s="17" t="s">
        <v>71</v>
      </c>
      <c r="BA17" s="17" t="s">
        <v>72</v>
      </c>
      <c r="BB17" s="17" t="s">
        <v>86</v>
      </c>
      <c r="BC17" s="17" t="s">
        <v>98</v>
      </c>
      <c r="BD17" s="17"/>
      <c r="BE17" s="17" t="s">
        <v>99</v>
      </c>
      <c r="BF17" s="17"/>
      <c r="BG17" s="20" t="s">
        <v>100</v>
      </c>
      <c r="BH17" s="17"/>
      <c r="BI17" s="20" t="s">
        <v>76</v>
      </c>
      <c r="BJ17" s="20"/>
      <c r="BK17" s="15" t="s">
        <v>101</v>
      </c>
      <c r="BL17" s="17"/>
      <c r="BM17" s="17"/>
      <c r="BN17" s="17"/>
      <c r="BO17" s="17"/>
      <c r="BP17" s="17"/>
      <c r="BQ17" s="17"/>
      <c r="BR17" s="17"/>
      <c r="BS17" s="17"/>
      <c r="BT17" s="17"/>
    </row>
    <row r="18" ht="12.0" customHeight="1">
      <c r="A18" s="18">
        <v>1.0</v>
      </c>
      <c r="B18" s="17">
        <v>2.0</v>
      </c>
      <c r="C18" s="19">
        <v>10.005</v>
      </c>
      <c r="D18" s="22">
        <f>C8-C7</f>
        <v>10</v>
      </c>
      <c r="E18" s="28">
        <f t="shared" ref="E18:E37" si="1">C$15+E$15*D18/1000</f>
        <v>2.007</v>
      </c>
      <c r="F18" s="29">
        <f t="shared" ref="F18:F37" si="2">-1/E18</f>
        <v>-0.4982561036</v>
      </c>
      <c r="G18" s="30">
        <f t="shared" ref="G18:G37" si="3">-(D18/1000)/E18</f>
        <v>-0.004982561036</v>
      </c>
      <c r="H18" s="17"/>
      <c r="I18" s="29">
        <f t="shared" ref="I18:I37" si="4">-(1000*(D18-F$13-F$14*D18-C18))/E18</f>
        <v>2.491280518</v>
      </c>
      <c r="J18" s="17"/>
      <c r="K18" s="29">
        <f t="shared" ref="K18:K37" si="5">M18*E18</f>
        <v>1.848402026</v>
      </c>
      <c r="L18" s="29"/>
      <c r="M18" s="31">
        <f t="array" ref="M18:M37">MMULT(F18:G37,G41:G42)-I18:I37</f>
        <v>0.9209775914</v>
      </c>
      <c r="N18" s="32"/>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8">
        <v>1.0</v>
      </c>
      <c r="AX18" s="17">
        <v>2.0</v>
      </c>
      <c r="AY18" s="19">
        <v>10.005</v>
      </c>
      <c r="AZ18" s="22">
        <f>AY8-AY7</f>
        <v>10</v>
      </c>
      <c r="BA18" s="41">
        <v>2.0</v>
      </c>
      <c r="BB18" s="42">
        <v>-1.0</v>
      </c>
      <c r="BC18" s="34">
        <f t="shared" ref="BC18:BC27" si="6">-AZ18/1000</f>
        <v>-0.01</v>
      </c>
      <c r="BD18" s="17"/>
      <c r="BE18" s="43">
        <f>-1000*(AY8-AY7-F$58-F$59*AY18-AY18)</f>
        <v>5</v>
      </c>
      <c r="BF18" s="17"/>
      <c r="BG18" s="29" t="str">
        <f t="array" ref="BG18:BG27">MMULT(BB18:BC27,BE41:BE42)-BE18:BE27</f>
        <v>#REF!</v>
      </c>
      <c r="BH18" s="29" t="s">
        <v>61</v>
      </c>
      <c r="BI18" s="31" t="str">
        <f t="shared" ref="BI18:BI27" si="7">BG18/BA18</f>
        <v>#REF!</v>
      </c>
      <c r="BJ18" s="32"/>
      <c r="BK18" s="44">
        <f>1/($BA18*$BA18)</f>
        <v>0.25</v>
      </c>
      <c r="BL18" s="45">
        <v>0.0</v>
      </c>
      <c r="BM18" s="45">
        <v>0.0</v>
      </c>
      <c r="BN18" s="45">
        <v>0.0</v>
      </c>
      <c r="BO18" s="45">
        <v>0.0</v>
      </c>
      <c r="BP18" s="45">
        <v>0.0</v>
      </c>
      <c r="BQ18" s="45">
        <v>0.0</v>
      </c>
      <c r="BR18" s="45">
        <v>0.0</v>
      </c>
      <c r="BS18" s="45">
        <v>0.0</v>
      </c>
      <c r="BT18" s="46">
        <v>0.0</v>
      </c>
    </row>
    <row r="19" ht="12.0" customHeight="1">
      <c r="A19" s="18">
        <v>1.0</v>
      </c>
      <c r="B19" s="17">
        <v>3.0</v>
      </c>
      <c r="C19" s="19">
        <v>30.006</v>
      </c>
      <c r="D19" s="22">
        <f>C9-C7</f>
        <v>30</v>
      </c>
      <c r="E19" s="28">
        <f t="shared" si="1"/>
        <v>2.021</v>
      </c>
      <c r="F19" s="29">
        <f t="shared" si="2"/>
        <v>-0.4948045522</v>
      </c>
      <c r="G19" s="30">
        <f t="shared" si="3"/>
        <v>-0.01484413657</v>
      </c>
      <c r="H19" s="17"/>
      <c r="I19" s="29">
        <f t="shared" si="4"/>
        <v>2.968827313</v>
      </c>
      <c r="J19" s="17"/>
      <c r="K19" s="29">
        <f t="shared" si="5"/>
        <v>0.5741983675</v>
      </c>
      <c r="L19" s="29"/>
      <c r="M19" s="31">
        <v>0.2841159660971937</v>
      </c>
      <c r="N19" s="32"/>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8">
        <v>1.0</v>
      </c>
      <c r="AX19" s="17">
        <v>3.0</v>
      </c>
      <c r="AY19" s="19">
        <v>30.006</v>
      </c>
      <c r="AZ19" s="22">
        <f>AY9-AY7</f>
        <v>30</v>
      </c>
      <c r="BA19" s="41">
        <v>2.0</v>
      </c>
      <c r="BB19" s="47">
        <v>-1.0</v>
      </c>
      <c r="BC19" s="48">
        <f t="shared" si="6"/>
        <v>-0.03</v>
      </c>
      <c r="BD19" s="17"/>
      <c r="BE19" s="49">
        <f>-1000*(AY9-AY7-F$58-F$59*AY19-AY19)</f>
        <v>6</v>
      </c>
      <c r="BF19" s="17"/>
      <c r="BG19" s="29" t="e">
        <v>#REF!</v>
      </c>
      <c r="BH19" s="29"/>
      <c r="BI19" s="31" t="str">
        <f t="shared" si="7"/>
        <v>#REF!</v>
      </c>
      <c r="BJ19" s="32"/>
      <c r="BK19" s="50">
        <v>0.0</v>
      </c>
      <c r="BL19" s="17">
        <f>1/($BA19*$BA19)</f>
        <v>0.25</v>
      </c>
      <c r="BM19" s="17">
        <v>0.0</v>
      </c>
      <c r="BN19" s="17">
        <v>0.0</v>
      </c>
      <c r="BO19" s="17">
        <v>0.0</v>
      </c>
      <c r="BP19" s="17">
        <v>0.0</v>
      </c>
      <c r="BQ19" s="17">
        <v>0.0</v>
      </c>
      <c r="BR19" s="17">
        <v>0.0</v>
      </c>
      <c r="BS19" s="17">
        <v>0.0</v>
      </c>
      <c r="BT19" s="51">
        <v>0.0</v>
      </c>
    </row>
    <row r="20" ht="12.0" customHeight="1">
      <c r="A20" s="18">
        <v>1.0</v>
      </c>
      <c r="B20" s="17">
        <v>4.0</v>
      </c>
      <c r="C20" s="19">
        <v>60.004</v>
      </c>
      <c r="D20" s="22">
        <f>C10-C7</f>
        <v>60</v>
      </c>
      <c r="E20" s="28">
        <f t="shared" si="1"/>
        <v>2.042</v>
      </c>
      <c r="F20" s="29">
        <f t="shared" si="2"/>
        <v>-0.4897159647</v>
      </c>
      <c r="G20" s="30">
        <f t="shared" si="3"/>
        <v>-0.02938295788</v>
      </c>
      <c r="H20" s="17"/>
      <c r="I20" s="29">
        <f t="shared" si="4"/>
        <v>1.958863859</v>
      </c>
      <c r="J20" s="17"/>
      <c r="K20" s="29">
        <f t="shared" si="5"/>
        <v>2.16289288</v>
      </c>
      <c r="L20" s="29"/>
      <c r="M20" s="31">
        <v>1.0592031731882623</v>
      </c>
      <c r="N20" s="32"/>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8">
        <v>1.0</v>
      </c>
      <c r="AX20" s="17">
        <v>4.0</v>
      </c>
      <c r="AY20" s="19">
        <v>60.004</v>
      </c>
      <c r="AZ20" s="22">
        <f>AY10-AY7</f>
        <v>60</v>
      </c>
      <c r="BA20" s="41">
        <v>2.0</v>
      </c>
      <c r="BB20" s="47">
        <v>-1.0</v>
      </c>
      <c r="BC20" s="48">
        <f t="shared" si="6"/>
        <v>-0.06</v>
      </c>
      <c r="BD20" s="17"/>
      <c r="BE20" s="49">
        <f>-1000*(AY10-AY7-F$58-F$59*AY20-AY20)</f>
        <v>4</v>
      </c>
      <c r="BF20" s="17"/>
      <c r="BG20" s="29" t="e">
        <v>#REF!</v>
      </c>
      <c r="BH20" s="29"/>
      <c r="BI20" s="31" t="str">
        <f t="shared" si="7"/>
        <v>#REF!</v>
      </c>
      <c r="BJ20" s="32"/>
      <c r="BK20" s="50">
        <v>0.0</v>
      </c>
      <c r="BL20" s="17">
        <v>0.0</v>
      </c>
      <c r="BM20" s="17">
        <f>1/($BA20*$BA20)</f>
        <v>0.25</v>
      </c>
      <c r="BN20" s="17">
        <v>0.0</v>
      </c>
      <c r="BO20" s="17">
        <v>0.0</v>
      </c>
      <c r="BP20" s="17">
        <v>0.0</v>
      </c>
      <c r="BQ20" s="17">
        <v>0.0</v>
      </c>
      <c r="BR20" s="17">
        <v>0.0</v>
      </c>
      <c r="BS20" s="17">
        <v>0.0</v>
      </c>
      <c r="BT20" s="51">
        <v>0.0</v>
      </c>
    </row>
    <row r="21" ht="12.0" customHeight="1">
      <c r="A21" s="18">
        <v>1.0</v>
      </c>
      <c r="B21" s="17">
        <v>5.0</v>
      </c>
      <c r="C21" s="19">
        <v>100.002</v>
      </c>
      <c r="D21" s="22">
        <f>C11-C7</f>
        <v>99.998</v>
      </c>
      <c r="E21" s="28">
        <f t="shared" si="1"/>
        <v>2.0699986</v>
      </c>
      <c r="F21" s="29">
        <f t="shared" si="2"/>
        <v>-0.4830921142</v>
      </c>
      <c r="G21" s="30">
        <f t="shared" si="3"/>
        <v>-0.04830824523</v>
      </c>
      <c r="H21" s="17"/>
      <c r="I21" s="29">
        <f t="shared" si="4"/>
        <v>1.932368457</v>
      </c>
      <c r="J21" s="17"/>
      <c r="K21" s="29">
        <f t="shared" si="5"/>
        <v>1.614512983</v>
      </c>
      <c r="L21" s="29"/>
      <c r="M21" s="31">
        <v>0.7799584902669991</v>
      </c>
      <c r="N21" s="32"/>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8">
        <v>1.0</v>
      </c>
      <c r="AX21" s="17">
        <v>5.0</v>
      </c>
      <c r="AY21" s="19">
        <v>100.002</v>
      </c>
      <c r="AZ21" s="22">
        <f>AY11-AY7</f>
        <v>99.998</v>
      </c>
      <c r="BA21" s="41">
        <v>2.0</v>
      </c>
      <c r="BB21" s="47">
        <v>-1.0</v>
      </c>
      <c r="BC21" s="48">
        <f t="shared" si="6"/>
        <v>-0.099998</v>
      </c>
      <c r="BD21" s="17"/>
      <c r="BE21" s="49">
        <f>-1000*(AY11-AY7-F$58-F$59*AY21-AY21)</f>
        <v>4</v>
      </c>
      <c r="BF21" s="17"/>
      <c r="BG21" s="29" t="e">
        <v>#REF!</v>
      </c>
      <c r="BH21" s="29"/>
      <c r="BI21" s="31" t="str">
        <f t="shared" si="7"/>
        <v>#REF!</v>
      </c>
      <c r="BJ21" s="32"/>
      <c r="BK21" s="50">
        <v>0.0</v>
      </c>
      <c r="BL21" s="17">
        <v>0.0</v>
      </c>
      <c r="BM21" s="17">
        <v>0.0</v>
      </c>
      <c r="BN21" s="17">
        <f>1/($BA21*$BA21)</f>
        <v>0.25</v>
      </c>
      <c r="BO21" s="17">
        <v>0.0</v>
      </c>
      <c r="BP21" s="17">
        <v>0.0</v>
      </c>
      <c r="BQ21" s="17">
        <v>0.0</v>
      </c>
      <c r="BR21" s="17">
        <v>0.0</v>
      </c>
      <c r="BS21" s="17">
        <v>0.0</v>
      </c>
      <c r="BT21" s="51">
        <v>0.0</v>
      </c>
    </row>
    <row r="22" ht="12.0" customHeight="1">
      <c r="A22" s="18">
        <v>2.0</v>
      </c>
      <c r="B22" s="17">
        <v>1.0</v>
      </c>
      <c r="C22" s="19">
        <v>10.005</v>
      </c>
      <c r="D22" s="22">
        <f t="shared" ref="D22:D23" si="8">C8-C7</f>
        <v>10</v>
      </c>
      <c r="E22" s="28">
        <f t="shared" si="1"/>
        <v>2.007</v>
      </c>
      <c r="F22" s="29">
        <f t="shared" si="2"/>
        <v>-0.4982561036</v>
      </c>
      <c r="G22" s="30">
        <f t="shared" si="3"/>
        <v>-0.004982561036</v>
      </c>
      <c r="H22" s="17"/>
      <c r="I22" s="29">
        <f t="shared" si="4"/>
        <v>2.491280518</v>
      </c>
      <c r="J22" s="17"/>
      <c r="K22" s="29">
        <f t="shared" si="5"/>
        <v>1.848402026</v>
      </c>
      <c r="L22" s="29"/>
      <c r="M22" s="31">
        <v>0.920977591449013</v>
      </c>
      <c r="N22" s="32"/>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8">
        <v>2.0</v>
      </c>
      <c r="AX22" s="17">
        <v>3.0</v>
      </c>
      <c r="AY22" s="19">
        <v>20.008</v>
      </c>
      <c r="AZ22" s="22">
        <f>AY9-AY8</f>
        <v>20</v>
      </c>
      <c r="BA22" s="41">
        <v>2.0</v>
      </c>
      <c r="BB22" s="47">
        <v>-1.0</v>
      </c>
      <c r="BC22" s="48">
        <f t="shared" si="6"/>
        <v>-0.02</v>
      </c>
      <c r="BD22" s="17"/>
      <c r="BE22" s="49">
        <f>-1000*(AY9-AY8-F$58-F$59*AY22-AY22)</f>
        <v>8</v>
      </c>
      <c r="BF22" s="17"/>
      <c r="BG22" s="29" t="e">
        <v>#REF!</v>
      </c>
      <c r="BH22" s="29"/>
      <c r="BI22" s="31" t="str">
        <f t="shared" si="7"/>
        <v>#REF!</v>
      </c>
      <c r="BJ22" s="32"/>
      <c r="BK22" s="50">
        <v>0.0</v>
      </c>
      <c r="BL22" s="17">
        <v>0.0</v>
      </c>
      <c r="BM22" s="17">
        <v>0.0</v>
      </c>
      <c r="BN22" s="17">
        <v>0.0</v>
      </c>
      <c r="BO22" s="17">
        <f>1/($BA22*$BA22)</f>
        <v>0.25</v>
      </c>
      <c r="BP22" s="17">
        <v>0.0</v>
      </c>
      <c r="BQ22" s="17">
        <v>0.0</v>
      </c>
      <c r="BR22" s="17">
        <v>0.0</v>
      </c>
      <c r="BS22" s="17">
        <v>0.0</v>
      </c>
      <c r="BT22" s="51">
        <v>0.0</v>
      </c>
    </row>
    <row r="23" ht="12.0" customHeight="1">
      <c r="A23" s="18">
        <v>2.0</v>
      </c>
      <c r="B23" s="17">
        <v>3.0</v>
      </c>
      <c r="C23" s="19">
        <v>20.008</v>
      </c>
      <c r="D23" s="22">
        <f t="shared" si="8"/>
        <v>20</v>
      </c>
      <c r="E23" s="28">
        <f t="shared" si="1"/>
        <v>2.014</v>
      </c>
      <c r="F23" s="29">
        <f t="shared" si="2"/>
        <v>-0.4965243297</v>
      </c>
      <c r="G23" s="30">
        <f t="shared" si="3"/>
        <v>-0.009930486594</v>
      </c>
      <c r="H23" s="17"/>
      <c r="I23" s="29">
        <f t="shared" si="4"/>
        <v>3.972194638</v>
      </c>
      <c r="J23" s="17"/>
      <c r="K23" s="29">
        <f t="shared" si="5"/>
        <v>-1.288699803</v>
      </c>
      <c r="L23" s="29"/>
      <c r="M23" s="31">
        <v>-0.6398708059773166</v>
      </c>
      <c r="N23" s="32"/>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8">
        <v>2.0</v>
      </c>
      <c r="AX23" s="17">
        <v>4.0</v>
      </c>
      <c r="AY23" s="19">
        <v>50.003</v>
      </c>
      <c r="AZ23" s="22">
        <f>AY10-AY8</f>
        <v>50</v>
      </c>
      <c r="BA23" s="41">
        <v>2.0</v>
      </c>
      <c r="BB23" s="47">
        <v>-1.0</v>
      </c>
      <c r="BC23" s="48">
        <f t="shared" si="6"/>
        <v>-0.05</v>
      </c>
      <c r="BD23" s="17"/>
      <c r="BE23" s="49">
        <f>-1000*(AY10-AY8-F$58-F$59*AY23-AY23)</f>
        <v>3</v>
      </c>
      <c r="BF23" s="17"/>
      <c r="BG23" s="29" t="e">
        <v>#REF!</v>
      </c>
      <c r="BH23" s="29"/>
      <c r="BI23" s="31" t="str">
        <f t="shared" si="7"/>
        <v>#REF!</v>
      </c>
      <c r="BJ23" s="32"/>
      <c r="BK23" s="50">
        <v>0.0</v>
      </c>
      <c r="BL23" s="17">
        <v>0.0</v>
      </c>
      <c r="BM23" s="17">
        <v>0.0</v>
      </c>
      <c r="BN23" s="17">
        <v>0.0</v>
      </c>
      <c r="BO23" s="17">
        <v>0.0</v>
      </c>
      <c r="BP23" s="17">
        <f>1/($BA23*$BA23)</f>
        <v>0.25</v>
      </c>
      <c r="BQ23" s="17">
        <v>0.0</v>
      </c>
      <c r="BR23" s="17">
        <v>0.0</v>
      </c>
      <c r="BS23" s="17">
        <v>0.0</v>
      </c>
      <c r="BT23" s="51">
        <v>0.0</v>
      </c>
    </row>
    <row r="24" ht="12.0" customHeight="1">
      <c r="A24" s="18">
        <v>2.0</v>
      </c>
      <c r="B24" s="17">
        <v>4.0</v>
      </c>
      <c r="C24" s="19">
        <v>50.003</v>
      </c>
      <c r="D24" s="22">
        <f>C10-C8</f>
        <v>50</v>
      </c>
      <c r="E24" s="28">
        <f t="shared" si="1"/>
        <v>2.035</v>
      </c>
      <c r="F24" s="29">
        <f t="shared" si="2"/>
        <v>-0.4914004914</v>
      </c>
      <c r="G24" s="30">
        <f t="shared" si="3"/>
        <v>-0.02457002457</v>
      </c>
      <c r="H24" s="17"/>
      <c r="I24" s="29">
        <f t="shared" si="4"/>
        <v>1.474201474</v>
      </c>
      <c r="J24" s="17"/>
      <c r="K24" s="29">
        <f t="shared" si="5"/>
        <v>3.299994709</v>
      </c>
      <c r="L24" s="29"/>
      <c r="M24" s="31">
        <v>1.6216190215853796</v>
      </c>
      <c r="N24" s="32"/>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8">
        <v>2.0</v>
      </c>
      <c r="AX24" s="17">
        <v>5.0</v>
      </c>
      <c r="AY24" s="19">
        <v>90.006</v>
      </c>
      <c r="AZ24" s="22">
        <f>AY11-AY8</f>
        <v>89.998</v>
      </c>
      <c r="BA24" s="41">
        <v>2.0</v>
      </c>
      <c r="BB24" s="47">
        <v>-1.0</v>
      </c>
      <c r="BC24" s="48">
        <f t="shared" si="6"/>
        <v>-0.089998</v>
      </c>
      <c r="BD24" s="17"/>
      <c r="BE24" s="49">
        <f>-1000*(AY11-AY8-F$58-F$59*AY24-AY24)</f>
        <v>8</v>
      </c>
      <c r="BF24" s="17"/>
      <c r="BG24" s="29" t="e">
        <v>#REF!</v>
      </c>
      <c r="BH24" s="29"/>
      <c r="BI24" s="31" t="str">
        <f t="shared" si="7"/>
        <v>#REF!</v>
      </c>
      <c r="BJ24" s="32"/>
      <c r="BK24" s="50">
        <v>0.0</v>
      </c>
      <c r="BL24" s="17">
        <v>0.0</v>
      </c>
      <c r="BM24" s="17">
        <v>0.0</v>
      </c>
      <c r="BN24" s="17">
        <v>0.0</v>
      </c>
      <c r="BO24" s="17">
        <v>0.0</v>
      </c>
      <c r="BP24" s="17">
        <v>0.0</v>
      </c>
      <c r="BQ24" s="17">
        <f>1/($BA24*$BA24)</f>
        <v>0.25</v>
      </c>
      <c r="BR24" s="17">
        <v>0.0</v>
      </c>
      <c r="BS24" s="17">
        <v>0.0</v>
      </c>
      <c r="BT24" s="51">
        <v>0.0</v>
      </c>
    </row>
    <row r="25" ht="12.0" customHeight="1">
      <c r="A25" s="18">
        <v>2.0</v>
      </c>
      <c r="B25" s="17">
        <v>5.0</v>
      </c>
      <c r="C25" s="19">
        <v>90.006</v>
      </c>
      <c r="D25" s="22">
        <f>C11-C8</f>
        <v>89.998</v>
      </c>
      <c r="E25" s="28">
        <f t="shared" si="1"/>
        <v>2.0629986</v>
      </c>
      <c r="F25" s="29">
        <f t="shared" si="2"/>
        <v>-0.4847313033</v>
      </c>
      <c r="G25" s="30">
        <f t="shared" si="3"/>
        <v>-0.04362484783</v>
      </c>
      <c r="H25" s="17"/>
      <c r="I25" s="29">
        <f t="shared" si="4"/>
        <v>3.877850426</v>
      </c>
      <c r="J25" s="17"/>
      <c r="K25" s="29">
        <f t="shared" si="5"/>
        <v>-2.248385188</v>
      </c>
      <c r="L25" s="29"/>
      <c r="M25" s="31">
        <v>-1.0898626823188047</v>
      </c>
      <c r="N25" s="32"/>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8">
        <v>3.0</v>
      </c>
      <c r="AX25" s="17">
        <v>4.0</v>
      </c>
      <c r="AY25" s="19">
        <v>30.01</v>
      </c>
      <c r="AZ25" s="22">
        <f>AY10-AY9</f>
        <v>30</v>
      </c>
      <c r="BA25" s="41">
        <v>2.0</v>
      </c>
      <c r="BB25" s="47">
        <v>-1.0</v>
      </c>
      <c r="BC25" s="48">
        <f t="shared" si="6"/>
        <v>-0.03</v>
      </c>
      <c r="BD25" s="17"/>
      <c r="BE25" s="49">
        <f>-1000*(AY10-AY9-F$58-F$59*AY25-AY25)</f>
        <v>10</v>
      </c>
      <c r="BF25" s="17"/>
      <c r="BG25" s="29" t="e">
        <v>#REF!</v>
      </c>
      <c r="BH25" s="29"/>
      <c r="BI25" s="31" t="str">
        <f t="shared" si="7"/>
        <v>#REF!</v>
      </c>
      <c r="BJ25" s="32"/>
      <c r="BK25" s="50">
        <v>0.0</v>
      </c>
      <c r="BL25" s="17">
        <v>0.0</v>
      </c>
      <c r="BM25" s="17">
        <v>0.0</v>
      </c>
      <c r="BN25" s="17">
        <v>0.0</v>
      </c>
      <c r="BO25" s="17">
        <v>0.0</v>
      </c>
      <c r="BP25" s="17">
        <v>0.0</v>
      </c>
      <c r="BQ25" s="17">
        <v>0.0</v>
      </c>
      <c r="BR25" s="17">
        <f>1/($BA25*$BA25)</f>
        <v>0.25</v>
      </c>
      <c r="BS25" s="17">
        <v>0.0</v>
      </c>
      <c r="BT25" s="51">
        <v>0.0</v>
      </c>
    </row>
    <row r="26" ht="12.0" customHeight="1">
      <c r="A26" s="18">
        <v>3.0</v>
      </c>
      <c r="B26" s="17">
        <v>1.0</v>
      </c>
      <c r="C26" s="19">
        <v>30.006</v>
      </c>
      <c r="D26" s="22">
        <f>C9-C7</f>
        <v>30</v>
      </c>
      <c r="E26" s="28">
        <f t="shared" si="1"/>
        <v>2.021</v>
      </c>
      <c r="F26" s="29">
        <f t="shared" si="2"/>
        <v>-0.4948045522</v>
      </c>
      <c r="G26" s="30">
        <f t="shared" si="3"/>
        <v>-0.01484413657</v>
      </c>
      <c r="H26" s="17"/>
      <c r="I26" s="29">
        <f t="shared" si="4"/>
        <v>2.968827313</v>
      </c>
      <c r="J26" s="17"/>
      <c r="K26" s="29">
        <f t="shared" si="5"/>
        <v>0.5741983675</v>
      </c>
      <c r="L26" s="29"/>
      <c r="M26" s="31">
        <v>0.2841159660971937</v>
      </c>
      <c r="N26" s="32"/>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8">
        <v>3.0</v>
      </c>
      <c r="AX26" s="17">
        <v>5.0</v>
      </c>
      <c r="AY26" s="19">
        <v>70.006</v>
      </c>
      <c r="AZ26" s="22">
        <f>AY11-AY9</f>
        <v>69.998</v>
      </c>
      <c r="BA26" s="41">
        <v>2.0</v>
      </c>
      <c r="BB26" s="47">
        <v>-1.0</v>
      </c>
      <c r="BC26" s="48">
        <f t="shared" si="6"/>
        <v>-0.069998</v>
      </c>
      <c r="BD26" s="17"/>
      <c r="BE26" s="49">
        <f>-1000*(AY11-AY9-F$58-F$59*AY26-AY26)</f>
        <v>8</v>
      </c>
      <c r="BF26" s="17"/>
      <c r="BG26" s="29" t="e">
        <v>#REF!</v>
      </c>
      <c r="BH26" s="29"/>
      <c r="BI26" s="31" t="str">
        <f t="shared" si="7"/>
        <v>#REF!</v>
      </c>
      <c r="BJ26" s="32"/>
      <c r="BK26" s="50">
        <v>0.0</v>
      </c>
      <c r="BL26" s="17">
        <v>0.0</v>
      </c>
      <c r="BM26" s="17">
        <v>0.0</v>
      </c>
      <c r="BN26" s="17">
        <v>0.0</v>
      </c>
      <c r="BO26" s="17">
        <v>0.0</v>
      </c>
      <c r="BP26" s="17">
        <v>0.0</v>
      </c>
      <c r="BQ26" s="17">
        <v>0.0</v>
      </c>
      <c r="BR26" s="17">
        <v>0.0</v>
      </c>
      <c r="BS26" s="17">
        <f>1/($BA26*$BA26)</f>
        <v>0.25</v>
      </c>
      <c r="BT26" s="51">
        <v>0.0</v>
      </c>
    </row>
    <row r="27" ht="12.0" customHeight="1">
      <c r="A27" s="18">
        <v>3.0</v>
      </c>
      <c r="B27" s="17">
        <v>2.0</v>
      </c>
      <c r="C27" s="19">
        <v>20.008</v>
      </c>
      <c r="D27" s="22">
        <f t="shared" ref="D27:D28" si="9">C9-C8</f>
        <v>20</v>
      </c>
      <c r="E27" s="28">
        <f t="shared" si="1"/>
        <v>2.014</v>
      </c>
      <c r="F27" s="29">
        <f t="shared" si="2"/>
        <v>-0.4965243297</v>
      </c>
      <c r="G27" s="30">
        <f t="shared" si="3"/>
        <v>-0.009930486594</v>
      </c>
      <c r="H27" s="17"/>
      <c r="I27" s="29">
        <f t="shared" si="4"/>
        <v>3.972194638</v>
      </c>
      <c r="J27" s="17"/>
      <c r="K27" s="29">
        <f t="shared" si="5"/>
        <v>-1.288699803</v>
      </c>
      <c r="L27" s="29"/>
      <c r="M27" s="31">
        <v>-0.6398708059773166</v>
      </c>
      <c r="N27" s="32"/>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8">
        <v>4.0</v>
      </c>
      <c r="AX27" s="17">
        <v>5.0</v>
      </c>
      <c r="AY27" s="19">
        <v>40.005</v>
      </c>
      <c r="AZ27" s="22">
        <f>AY11-AY10</f>
        <v>39.998</v>
      </c>
      <c r="BA27" s="41">
        <v>2.0</v>
      </c>
      <c r="BB27" s="52">
        <v>-1.0</v>
      </c>
      <c r="BC27" s="37">
        <f t="shared" si="6"/>
        <v>-0.039998</v>
      </c>
      <c r="BD27" s="17"/>
      <c r="BE27" s="53">
        <f>-1000*(AY11-AY10-F$58-F$59*AY27-AY27)</f>
        <v>7</v>
      </c>
      <c r="BF27" s="17"/>
      <c r="BG27" s="29" t="e">
        <v>#REF!</v>
      </c>
      <c r="BH27" s="29"/>
      <c r="BI27" s="31" t="str">
        <f t="shared" si="7"/>
        <v>#REF!</v>
      </c>
      <c r="BJ27" s="32"/>
      <c r="BK27" s="54">
        <v>0.0</v>
      </c>
      <c r="BL27" s="55">
        <v>0.0</v>
      </c>
      <c r="BM27" s="55">
        <v>0.0</v>
      </c>
      <c r="BN27" s="55">
        <v>0.0</v>
      </c>
      <c r="BO27" s="55">
        <v>0.0</v>
      </c>
      <c r="BP27" s="55">
        <v>0.0</v>
      </c>
      <c r="BQ27" s="55">
        <v>0.0</v>
      </c>
      <c r="BR27" s="55">
        <v>0.0</v>
      </c>
      <c r="BS27" s="55">
        <v>0.0</v>
      </c>
      <c r="BT27" s="56">
        <f>1/($BA27*$BA27)</f>
        <v>0.25</v>
      </c>
    </row>
    <row r="28" ht="12.0" customHeight="1">
      <c r="A28" s="18">
        <v>3.0</v>
      </c>
      <c r="B28" s="17">
        <v>4.0</v>
      </c>
      <c r="C28" s="19">
        <v>30.01</v>
      </c>
      <c r="D28" s="22">
        <f t="shared" si="9"/>
        <v>30</v>
      </c>
      <c r="E28" s="28">
        <f t="shared" si="1"/>
        <v>2.021</v>
      </c>
      <c r="F28" s="29">
        <f t="shared" si="2"/>
        <v>-0.4948045522</v>
      </c>
      <c r="G28" s="30">
        <f t="shared" si="3"/>
        <v>-0.01484413657</v>
      </c>
      <c r="H28" s="17"/>
      <c r="I28" s="29">
        <f t="shared" si="4"/>
        <v>4.948045522</v>
      </c>
      <c r="J28" s="17"/>
      <c r="K28" s="29">
        <f t="shared" si="5"/>
        <v>-3.425801633</v>
      </c>
      <c r="L28" s="29"/>
      <c r="M28" s="31">
        <v>-1.6951022427109885</v>
      </c>
      <c r="N28" s="32"/>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8"/>
      <c r="AX28" s="17"/>
      <c r="AY28" s="19"/>
      <c r="AZ28" s="22"/>
      <c r="BA28" s="41"/>
      <c r="BB28" s="18"/>
      <c r="BC28" s="30"/>
      <c r="BD28" s="17"/>
      <c r="BE28" s="29"/>
      <c r="BF28" s="17"/>
      <c r="BG28" s="29"/>
      <c r="BH28" s="29"/>
      <c r="BI28" s="31"/>
      <c r="BJ28" s="32"/>
      <c r="BK28" s="17"/>
      <c r="BL28" s="17"/>
      <c r="BM28" s="17"/>
      <c r="BN28" s="17"/>
      <c r="BO28" s="17"/>
      <c r="BP28" s="17"/>
      <c r="BQ28" s="17"/>
      <c r="BR28" s="17"/>
      <c r="BS28" s="17"/>
      <c r="BT28" s="17"/>
    </row>
    <row r="29" ht="12.0" customHeight="1">
      <c r="A29" s="18">
        <v>3.0</v>
      </c>
      <c r="B29" s="17">
        <v>5.0</v>
      </c>
      <c r="C29" s="19">
        <v>70.006</v>
      </c>
      <c r="D29" s="22">
        <f>C11-C9</f>
        <v>69.998</v>
      </c>
      <c r="E29" s="28">
        <f t="shared" si="1"/>
        <v>2.0489986</v>
      </c>
      <c r="F29" s="29">
        <f t="shared" si="2"/>
        <v>-0.4880432812</v>
      </c>
      <c r="G29" s="30">
        <f t="shared" si="3"/>
        <v>-0.0341620536</v>
      </c>
      <c r="H29" s="17"/>
      <c r="I29" s="29">
        <f t="shared" si="4"/>
        <v>3.90434625</v>
      </c>
      <c r="J29" s="17"/>
      <c r="K29" s="29">
        <f t="shared" si="5"/>
        <v>-1.974181529</v>
      </c>
      <c r="L29" s="29"/>
      <c r="M29" s="31">
        <v>-0.9634860313031175</v>
      </c>
      <c r="N29" s="32"/>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8"/>
      <c r="AX29" s="17"/>
      <c r="AY29" s="19"/>
      <c r="AZ29" s="22"/>
      <c r="BA29" s="41"/>
      <c r="BB29" s="18"/>
      <c r="BC29" s="30"/>
      <c r="BD29" s="17"/>
      <c r="BE29" s="29"/>
      <c r="BF29" s="17"/>
      <c r="BG29" s="29"/>
      <c r="BH29" s="29"/>
      <c r="BI29" s="31"/>
      <c r="BJ29" s="32"/>
      <c r="BK29" s="17"/>
      <c r="BL29" s="17"/>
      <c r="BM29" s="17"/>
      <c r="BN29" s="17"/>
      <c r="BO29" s="17"/>
      <c r="BP29" s="17"/>
      <c r="BQ29" s="17"/>
      <c r="BR29" s="17"/>
      <c r="BS29" s="17"/>
      <c r="BT29" s="17"/>
    </row>
    <row r="30" ht="12.0" customHeight="1">
      <c r="A30" s="18">
        <v>4.0</v>
      </c>
      <c r="B30" s="17">
        <v>1.0</v>
      </c>
      <c r="C30" s="19">
        <v>60.004</v>
      </c>
      <c r="D30" s="22">
        <f>C10-C7</f>
        <v>60</v>
      </c>
      <c r="E30" s="28">
        <f t="shared" si="1"/>
        <v>2.042</v>
      </c>
      <c r="F30" s="29">
        <f t="shared" si="2"/>
        <v>-0.4897159647</v>
      </c>
      <c r="G30" s="30">
        <f t="shared" si="3"/>
        <v>-0.02938295788</v>
      </c>
      <c r="H30" s="17"/>
      <c r="I30" s="29">
        <f t="shared" si="4"/>
        <v>1.958863859</v>
      </c>
      <c r="J30" s="17"/>
      <c r="K30" s="29">
        <f t="shared" si="5"/>
        <v>2.16289288</v>
      </c>
      <c r="L30" s="29"/>
      <c r="M30" s="31">
        <v>1.0592031731882623</v>
      </c>
      <c r="N30" s="32"/>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8"/>
      <c r="AX30" s="17"/>
      <c r="AY30" s="19"/>
      <c r="AZ30" s="22"/>
      <c r="BA30" s="41"/>
      <c r="BB30" s="18"/>
      <c r="BC30" s="30"/>
      <c r="BD30" s="17"/>
      <c r="BE30" s="29"/>
      <c r="BF30" s="17"/>
      <c r="BG30" s="29"/>
      <c r="BH30" s="29"/>
      <c r="BI30" s="31"/>
      <c r="BJ30" s="32"/>
      <c r="BK30" s="17"/>
      <c r="BL30" s="17"/>
      <c r="BM30" s="17"/>
      <c r="BN30" s="17"/>
      <c r="BO30" s="17"/>
      <c r="BP30" s="17"/>
      <c r="BQ30" s="17"/>
      <c r="BR30" s="17"/>
      <c r="BS30" s="17"/>
      <c r="BT30" s="17"/>
    </row>
    <row r="31" ht="12.0" customHeight="1">
      <c r="A31" s="18">
        <v>4.0</v>
      </c>
      <c r="B31" s="17">
        <v>2.0</v>
      </c>
      <c r="C31" s="19">
        <v>50.003</v>
      </c>
      <c r="D31" s="22">
        <f>C10-C8</f>
        <v>50</v>
      </c>
      <c r="E31" s="28">
        <f t="shared" si="1"/>
        <v>2.035</v>
      </c>
      <c r="F31" s="29">
        <f t="shared" si="2"/>
        <v>-0.4914004914</v>
      </c>
      <c r="G31" s="30">
        <f t="shared" si="3"/>
        <v>-0.02457002457</v>
      </c>
      <c r="H31" s="17"/>
      <c r="I31" s="29">
        <f t="shared" si="4"/>
        <v>1.474201474</v>
      </c>
      <c r="J31" s="17"/>
      <c r="K31" s="29">
        <f t="shared" si="5"/>
        <v>3.299994709</v>
      </c>
      <c r="L31" s="29"/>
      <c r="M31" s="31">
        <v>1.6216190215853796</v>
      </c>
      <c r="N31" s="32"/>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8"/>
      <c r="AX31" s="17"/>
      <c r="AY31" s="19"/>
      <c r="AZ31" s="22"/>
      <c r="BA31" s="41"/>
      <c r="BB31" s="18"/>
      <c r="BC31" s="30"/>
      <c r="BD31" s="17"/>
      <c r="BE31" s="29"/>
      <c r="BF31" s="17"/>
      <c r="BG31" s="29"/>
      <c r="BH31" s="29"/>
      <c r="BI31" s="31"/>
      <c r="BJ31" s="32"/>
      <c r="BK31" s="17"/>
      <c r="BL31" s="17"/>
      <c r="BM31" s="17"/>
      <c r="BN31" s="17"/>
      <c r="BO31" s="17"/>
      <c r="BP31" s="17"/>
      <c r="BQ31" s="17"/>
      <c r="BR31" s="17"/>
      <c r="BS31" s="17"/>
      <c r="BT31" s="17"/>
    </row>
    <row r="32" ht="12.0" customHeight="1">
      <c r="A32" s="18">
        <v>4.0</v>
      </c>
      <c r="B32" s="17">
        <v>3.0</v>
      </c>
      <c r="C32" s="19">
        <v>30.01</v>
      </c>
      <c r="D32" s="22">
        <f t="shared" ref="D32:D33" si="10">C10-C9</f>
        <v>30</v>
      </c>
      <c r="E32" s="28">
        <f t="shared" si="1"/>
        <v>2.021</v>
      </c>
      <c r="F32" s="29">
        <f t="shared" si="2"/>
        <v>-0.4948045522</v>
      </c>
      <c r="G32" s="30">
        <f t="shared" si="3"/>
        <v>-0.01484413657</v>
      </c>
      <c r="H32" s="17"/>
      <c r="I32" s="29">
        <f t="shared" si="4"/>
        <v>4.948045522</v>
      </c>
      <c r="J32" s="17"/>
      <c r="K32" s="29">
        <f t="shared" si="5"/>
        <v>-3.425801633</v>
      </c>
      <c r="L32" s="29"/>
      <c r="M32" s="31">
        <v>-1.6951022427109885</v>
      </c>
      <c r="N32" s="32"/>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8"/>
      <c r="AX32" s="17"/>
      <c r="AY32" s="19"/>
      <c r="AZ32" s="22"/>
      <c r="BA32" s="41"/>
      <c r="BB32" s="18"/>
      <c r="BC32" s="30"/>
      <c r="BD32" s="17"/>
      <c r="BE32" s="29"/>
      <c r="BF32" s="17"/>
      <c r="BG32" s="29"/>
      <c r="BH32" s="29"/>
      <c r="BI32" s="31"/>
      <c r="BJ32" s="32"/>
      <c r="BK32" s="17"/>
      <c r="BL32" s="17"/>
      <c r="BM32" s="17"/>
      <c r="BN32" s="17"/>
      <c r="BO32" s="17"/>
      <c r="BP32" s="17"/>
      <c r="BQ32" s="17"/>
      <c r="BR32" s="17"/>
      <c r="BS32" s="17"/>
      <c r="BT32" s="17"/>
    </row>
    <row r="33" ht="12.0" customHeight="1">
      <c r="A33" s="18">
        <v>4.0</v>
      </c>
      <c r="B33" s="17">
        <v>5.0</v>
      </c>
      <c r="C33" s="19">
        <v>40.005</v>
      </c>
      <c r="D33" s="22">
        <f t="shared" si="10"/>
        <v>39.998</v>
      </c>
      <c r="E33" s="28">
        <f t="shared" si="1"/>
        <v>2.0279986</v>
      </c>
      <c r="F33" s="29">
        <f t="shared" si="2"/>
        <v>-0.4930969873</v>
      </c>
      <c r="G33" s="30">
        <f t="shared" si="3"/>
        <v>-0.0197228933</v>
      </c>
      <c r="H33" s="17"/>
      <c r="I33" s="29">
        <f t="shared" si="4"/>
        <v>3.451678911</v>
      </c>
      <c r="J33" s="17"/>
      <c r="K33" s="29">
        <f t="shared" si="5"/>
        <v>-0.5628760414</v>
      </c>
      <c r="L33" s="29"/>
      <c r="M33" s="31">
        <v>-0.27755248027662915</v>
      </c>
      <c r="N33" s="32"/>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8"/>
      <c r="AX33" s="17"/>
      <c r="AY33" s="19"/>
      <c r="AZ33" s="22"/>
      <c r="BA33" s="41"/>
      <c r="BB33" s="18"/>
      <c r="BC33" s="30"/>
      <c r="BD33" s="17"/>
      <c r="BE33" s="29"/>
      <c r="BF33" s="17"/>
      <c r="BG33" s="29"/>
      <c r="BH33" s="29"/>
      <c r="BI33" s="31"/>
      <c r="BJ33" s="32"/>
      <c r="BK33" s="17"/>
      <c r="BL33" s="17"/>
      <c r="BM33" s="17"/>
      <c r="BN33" s="17"/>
      <c r="BO33" s="17"/>
      <c r="BP33" s="17"/>
      <c r="BQ33" s="17"/>
      <c r="BR33" s="17"/>
      <c r="BS33" s="17"/>
      <c r="BT33" s="17"/>
    </row>
    <row r="34" ht="12.0" customHeight="1">
      <c r="A34" s="18">
        <v>5.0</v>
      </c>
      <c r="B34" s="17">
        <v>1.0</v>
      </c>
      <c r="C34" s="19">
        <v>100.002</v>
      </c>
      <c r="D34" s="22">
        <f>C11-C7</f>
        <v>99.998</v>
      </c>
      <c r="E34" s="28">
        <f t="shared" si="1"/>
        <v>2.0699986</v>
      </c>
      <c r="F34" s="29">
        <f t="shared" si="2"/>
        <v>-0.4830921142</v>
      </c>
      <c r="G34" s="30">
        <f t="shared" si="3"/>
        <v>-0.04830824523</v>
      </c>
      <c r="H34" s="17"/>
      <c r="I34" s="29">
        <f t="shared" si="4"/>
        <v>1.932368457</v>
      </c>
      <c r="J34" s="17"/>
      <c r="K34" s="29">
        <f t="shared" si="5"/>
        <v>1.614512983</v>
      </c>
      <c r="L34" s="29"/>
      <c r="M34" s="31">
        <v>0.7799584902669991</v>
      </c>
      <c r="N34" s="32"/>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8"/>
      <c r="AX34" s="17"/>
      <c r="AY34" s="19"/>
      <c r="AZ34" s="22"/>
      <c r="BA34" s="41"/>
      <c r="BB34" s="18"/>
      <c r="BC34" s="30"/>
      <c r="BD34" s="17"/>
      <c r="BE34" s="29"/>
      <c r="BF34" s="17"/>
      <c r="BG34" s="29"/>
      <c r="BH34" s="29"/>
      <c r="BI34" s="31"/>
      <c r="BJ34" s="32"/>
      <c r="BK34" s="17"/>
      <c r="BL34" s="17"/>
      <c r="BM34" s="17"/>
      <c r="BN34" s="17"/>
      <c r="BO34" s="17"/>
      <c r="BP34" s="17"/>
      <c r="BQ34" s="17"/>
      <c r="BR34" s="17"/>
      <c r="BS34" s="17"/>
      <c r="BT34" s="17"/>
    </row>
    <row r="35" ht="12.0" customHeight="1">
      <c r="A35" s="18">
        <v>5.0</v>
      </c>
      <c r="B35" s="17">
        <v>2.0</v>
      </c>
      <c r="C35" s="19">
        <v>90.006</v>
      </c>
      <c r="D35" s="22">
        <f>C11-C8</f>
        <v>89.998</v>
      </c>
      <c r="E35" s="28">
        <f t="shared" si="1"/>
        <v>2.0629986</v>
      </c>
      <c r="F35" s="29">
        <f t="shared" si="2"/>
        <v>-0.4847313033</v>
      </c>
      <c r="G35" s="30">
        <f t="shared" si="3"/>
        <v>-0.04362484783</v>
      </c>
      <c r="H35" s="17"/>
      <c r="I35" s="29">
        <f t="shared" si="4"/>
        <v>3.877850426</v>
      </c>
      <c r="J35" s="17"/>
      <c r="K35" s="29">
        <f t="shared" si="5"/>
        <v>-2.248385188</v>
      </c>
      <c r="L35" s="29"/>
      <c r="M35" s="31">
        <v>-1.0898626823188047</v>
      </c>
      <c r="N35" s="3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8"/>
      <c r="AX35" s="17"/>
      <c r="AY35" s="19"/>
      <c r="AZ35" s="22"/>
      <c r="BA35" s="41"/>
      <c r="BB35" s="18"/>
      <c r="BC35" s="30"/>
      <c r="BD35" s="17"/>
      <c r="BE35" s="29"/>
      <c r="BF35" s="17"/>
      <c r="BG35" s="29"/>
      <c r="BH35" s="29"/>
      <c r="BI35" s="31"/>
      <c r="BJ35" s="32"/>
      <c r="BK35" s="17"/>
      <c r="BL35" s="17"/>
      <c r="BM35" s="17"/>
      <c r="BN35" s="17"/>
      <c r="BO35" s="17"/>
      <c r="BP35" s="17"/>
      <c r="BQ35" s="17"/>
      <c r="BR35" s="17"/>
      <c r="BS35" s="17"/>
      <c r="BT35" s="17"/>
    </row>
    <row r="36" ht="12.0" customHeight="1">
      <c r="A36" s="18">
        <v>5.0</v>
      </c>
      <c r="B36" s="17">
        <v>3.0</v>
      </c>
      <c r="C36" s="19">
        <v>70.006</v>
      </c>
      <c r="D36" s="22">
        <f>C11-C9</f>
        <v>69.998</v>
      </c>
      <c r="E36" s="28">
        <f t="shared" si="1"/>
        <v>2.0489986</v>
      </c>
      <c r="F36" s="29">
        <f t="shared" si="2"/>
        <v>-0.4880432812</v>
      </c>
      <c r="G36" s="30">
        <f t="shared" si="3"/>
        <v>-0.0341620536</v>
      </c>
      <c r="H36" s="17"/>
      <c r="I36" s="29">
        <f t="shared" si="4"/>
        <v>3.90434625</v>
      </c>
      <c r="J36" s="17"/>
      <c r="K36" s="29">
        <f t="shared" si="5"/>
        <v>-1.974181529</v>
      </c>
      <c r="L36" s="29"/>
      <c r="M36" s="31">
        <v>-0.9634860313031175</v>
      </c>
      <c r="N36" s="32"/>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8"/>
      <c r="AX36" s="17"/>
      <c r="AY36" s="19"/>
      <c r="AZ36" s="22"/>
      <c r="BA36" s="41"/>
      <c r="BB36" s="18"/>
      <c r="BC36" s="30"/>
      <c r="BD36" s="17"/>
      <c r="BE36" s="29"/>
      <c r="BF36" s="17"/>
      <c r="BG36" s="29"/>
      <c r="BH36" s="29"/>
      <c r="BI36" s="31"/>
      <c r="BJ36" s="32"/>
      <c r="BK36" s="17"/>
      <c r="BL36" s="17"/>
      <c r="BM36" s="17"/>
      <c r="BN36" s="17"/>
      <c r="BO36" s="17"/>
      <c r="BP36" s="17"/>
      <c r="BQ36" s="17"/>
      <c r="BR36" s="17"/>
      <c r="BS36" s="17"/>
      <c r="BT36" s="17"/>
    </row>
    <row r="37" ht="12.0" customHeight="1">
      <c r="A37" s="18">
        <v>5.0</v>
      </c>
      <c r="B37" s="17">
        <v>4.0</v>
      </c>
      <c r="C37" s="19">
        <v>40.005</v>
      </c>
      <c r="D37" s="22">
        <f>C11-C10</f>
        <v>39.998</v>
      </c>
      <c r="E37" s="28">
        <f t="shared" si="1"/>
        <v>2.0279986</v>
      </c>
      <c r="F37" s="29">
        <f t="shared" si="2"/>
        <v>-0.4930969873</v>
      </c>
      <c r="G37" s="30">
        <f t="shared" si="3"/>
        <v>-0.0197228933</v>
      </c>
      <c r="H37" s="17"/>
      <c r="I37" s="29">
        <f t="shared" si="4"/>
        <v>3.451678911</v>
      </c>
      <c r="J37" s="17"/>
      <c r="K37" s="29">
        <f t="shared" si="5"/>
        <v>-0.5628760414</v>
      </c>
      <c r="L37" s="29"/>
      <c r="M37" s="31">
        <v>-0.27755248027662915</v>
      </c>
      <c r="N37" s="3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8"/>
      <c r="AX37" s="17"/>
      <c r="AY37" s="19"/>
      <c r="AZ37" s="22"/>
      <c r="BA37" s="41"/>
      <c r="BB37" s="18"/>
      <c r="BC37" s="30"/>
      <c r="BD37" s="17"/>
      <c r="BE37" s="29"/>
      <c r="BF37" s="17"/>
      <c r="BG37" s="29"/>
      <c r="BH37" s="29"/>
      <c r="BI37" s="31"/>
      <c r="BJ37" s="32"/>
      <c r="BK37" s="17"/>
      <c r="BL37" s="17"/>
      <c r="BM37" s="17"/>
      <c r="BN37" s="17"/>
      <c r="BO37" s="17"/>
      <c r="BP37" s="17"/>
      <c r="BQ37" s="17"/>
      <c r="BR37" s="17"/>
      <c r="BS37" s="17"/>
      <c r="BT37" s="17"/>
    </row>
    <row r="38" ht="12.0" customHeight="1">
      <c r="A38" s="18"/>
      <c r="B38" s="27" t="s">
        <v>77</v>
      </c>
      <c r="C38" s="17">
        <f>COUNT(C18:C37)</f>
        <v>20</v>
      </c>
      <c r="D38" s="22"/>
      <c r="E38" s="41"/>
      <c r="F38" s="18"/>
      <c r="G38" s="30"/>
      <c r="H38" s="17"/>
      <c r="I38" s="29"/>
      <c r="J38" s="17"/>
      <c r="K38" s="29"/>
      <c r="L38" s="29"/>
      <c r="M38" s="32"/>
      <c r="N38" s="32"/>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8"/>
      <c r="AX38" s="17"/>
      <c r="AY38" s="19"/>
      <c r="AZ38" s="22"/>
      <c r="BA38" s="41"/>
      <c r="BB38" s="18"/>
      <c r="BC38" s="30"/>
      <c r="BD38" s="17"/>
      <c r="BE38" s="29"/>
      <c r="BF38" s="17"/>
      <c r="BG38" s="29"/>
      <c r="BH38" s="29"/>
      <c r="BI38" s="31"/>
      <c r="BJ38" s="32"/>
      <c r="BK38" s="17"/>
      <c r="BL38" s="17"/>
      <c r="BM38" s="17"/>
      <c r="BN38" s="17"/>
      <c r="BO38" s="17"/>
      <c r="BP38" s="17"/>
      <c r="BQ38" s="17"/>
      <c r="BR38" s="17"/>
      <c r="BS38" s="17"/>
      <c r="BT38" s="17"/>
    </row>
    <row r="39" ht="12.0" customHeight="1">
      <c r="A39" s="17"/>
      <c r="B39" s="27" t="s">
        <v>78</v>
      </c>
      <c r="C39" s="17">
        <f>C38-2</f>
        <v>18</v>
      </c>
      <c r="D39" s="17"/>
      <c r="E39" s="17"/>
      <c r="F39" s="17"/>
      <c r="G39" s="17"/>
      <c r="H39" s="17"/>
      <c r="I39" s="17"/>
      <c r="J39" s="17"/>
      <c r="K39" s="17"/>
      <c r="L39" s="27" t="s">
        <v>79</v>
      </c>
      <c r="M39" s="31">
        <f>SUMSQ(M18:M37)/C39</f>
        <v>1.196084901</v>
      </c>
      <c r="N39" s="2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27" t="s">
        <v>77</v>
      </c>
      <c r="AY39" s="17">
        <f>COUNT(AY18:AY27)</f>
        <v>10</v>
      </c>
      <c r="AZ39" s="17"/>
      <c r="BA39" s="27" t="s">
        <v>78</v>
      </c>
      <c r="BB39" s="17">
        <f>AY39-2</f>
        <v>8</v>
      </c>
      <c r="BC39" s="17"/>
      <c r="BD39" s="17"/>
      <c r="BE39" s="17"/>
      <c r="BF39" s="17"/>
      <c r="BG39" s="17"/>
      <c r="BH39" s="17"/>
      <c r="BI39" s="32" t="str">
        <f>SUMSQ(BI18:BI27)</f>
        <v>#REF!</v>
      </c>
      <c r="BJ39" s="27"/>
      <c r="BK39" s="17"/>
      <c r="BL39" s="17"/>
      <c r="BM39" s="17"/>
      <c r="BN39" s="17"/>
      <c r="BO39" s="17"/>
      <c r="BP39" s="17"/>
      <c r="BQ39" s="17"/>
      <c r="BR39" s="17"/>
      <c r="BS39" s="17"/>
      <c r="BT39" s="17"/>
    </row>
    <row r="40" ht="12.0" customHeight="1">
      <c r="A40" s="17"/>
      <c r="B40" s="17"/>
      <c r="C40" s="30"/>
      <c r="D40" s="17"/>
      <c r="E40" s="17"/>
      <c r="F40" s="17"/>
      <c r="G40" s="17"/>
      <c r="H40" s="17"/>
      <c r="I40" s="30"/>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30"/>
      <c r="AZ40" s="17"/>
      <c r="BA40" s="17"/>
      <c r="BB40" s="17"/>
      <c r="BC40" s="17"/>
      <c r="BD40" s="17"/>
      <c r="BE40" s="30"/>
      <c r="BF40" s="17"/>
      <c r="BG40" s="17"/>
      <c r="BH40" s="17"/>
      <c r="BI40" s="17"/>
      <c r="BJ40" s="17"/>
      <c r="BK40" s="17"/>
      <c r="BL40" s="17"/>
      <c r="BM40" s="17"/>
      <c r="BN40" s="17"/>
      <c r="BO40" s="17"/>
      <c r="BP40" s="17"/>
      <c r="BQ40" s="17"/>
      <c r="BR40" s="17"/>
      <c r="BS40" s="17"/>
      <c r="BT40" s="17"/>
    </row>
    <row r="41" ht="12.0" customHeight="1">
      <c r="A41" s="17"/>
      <c r="B41" s="17" t="s">
        <v>93</v>
      </c>
      <c r="C41" s="33">
        <f t="array" ref="C41:D42">MINVERSE(MMULT(TRANSPOSE(F18:G37),F18:G37))</f>
        <v>0.8448141637</v>
      </c>
      <c r="D41" s="34">
        <v>-12.897587147290619</v>
      </c>
      <c r="F41" s="17" t="s">
        <v>81</v>
      </c>
      <c r="G41" s="35">
        <f t="array" ref="G41:G42">MMULT(C41:D42,MMULT(TRANSPOSE(F18:G37),I18:I37))</f>
        <v>-6.985503855</v>
      </c>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t="s">
        <v>93</v>
      </c>
      <c r="AY41" s="33" t="str">
        <f t="array" ref="AY41">MINVERSE(#REF!)</f>
        <v>#REF!</v>
      </c>
      <c r="AZ41" s="34"/>
      <c r="BD41" s="17" t="s">
        <v>81</v>
      </c>
      <c r="BE41" s="35" t="str">
        <f t="array" ref="BE41">MMULT(AY41:AZ42,#REF!)</f>
        <v>#REF!</v>
      </c>
      <c r="BF41" s="17"/>
      <c r="BG41" s="17"/>
      <c r="BH41" s="17"/>
      <c r="BI41" s="17"/>
      <c r="BJ41" s="17"/>
      <c r="BK41" s="17"/>
      <c r="BL41" s="17"/>
      <c r="BM41" s="17"/>
      <c r="BN41" s="17"/>
      <c r="BO41" s="17"/>
      <c r="BP41" s="17"/>
      <c r="BQ41" s="17"/>
      <c r="BR41" s="17"/>
      <c r="BS41" s="17"/>
      <c r="BT41" s="17"/>
    </row>
    <row r="42" ht="12.0" customHeight="1">
      <c r="A42" s="17"/>
      <c r="B42" s="17"/>
      <c r="C42" s="36">
        <v>-12.897587147290617</v>
      </c>
      <c r="D42" s="37">
        <v>260.8102052369421</v>
      </c>
      <c r="F42" s="17"/>
      <c r="G42" s="38">
        <v>13.710182927814742</v>
      </c>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36"/>
      <c r="AZ42" s="37"/>
      <c r="BD42" s="17"/>
      <c r="BE42" s="38"/>
      <c r="BF42" s="17"/>
      <c r="BG42" s="17"/>
      <c r="BH42" s="17"/>
      <c r="BI42" s="17"/>
      <c r="BJ42" s="17"/>
      <c r="BK42" s="17"/>
      <c r="BL42" s="17"/>
      <c r="BM42" s="17"/>
      <c r="BN42" s="17"/>
      <c r="BO42" s="17"/>
      <c r="BP42" s="17"/>
      <c r="BQ42" s="17"/>
      <c r="BR42" s="17"/>
      <c r="BS42" s="17"/>
      <c r="BT42" s="17"/>
    </row>
    <row r="43" ht="12.0" customHeight="1">
      <c r="A43" s="17"/>
      <c r="B43" s="17"/>
      <c r="C43" s="17"/>
      <c r="D43" s="17"/>
      <c r="J43" s="17"/>
      <c r="K43" s="17"/>
      <c r="L43" s="17"/>
      <c r="M43" s="17"/>
      <c r="N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F43" s="17"/>
      <c r="BG43" s="17"/>
      <c r="BH43" s="17"/>
      <c r="BI43" s="17"/>
      <c r="BJ43" s="17"/>
      <c r="BL43" s="17"/>
      <c r="BM43" s="17"/>
      <c r="BN43" s="17"/>
      <c r="BO43" s="17"/>
      <c r="BP43" s="17"/>
      <c r="BQ43" s="17"/>
      <c r="BR43" s="17"/>
      <c r="BS43" s="17"/>
      <c r="BT43" s="17"/>
    </row>
    <row r="44" ht="12.0" customHeight="1">
      <c r="A44" s="17"/>
      <c r="B44" s="17"/>
      <c r="C44" s="17" t="s">
        <v>83</v>
      </c>
      <c r="D44" s="17"/>
      <c r="E44" s="17" t="s">
        <v>84</v>
      </c>
      <c r="F44" s="17"/>
      <c r="G44" s="17" t="s">
        <v>85</v>
      </c>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t="s">
        <v>83</v>
      </c>
      <c r="AZ44" s="17"/>
      <c r="BA44" s="17" t="s">
        <v>84</v>
      </c>
      <c r="BB44" s="17"/>
      <c r="BC44" s="17" t="s">
        <v>85</v>
      </c>
      <c r="BD44" s="17"/>
      <c r="BE44" s="17"/>
      <c r="BF44" s="17"/>
      <c r="BG44" s="17"/>
      <c r="BH44" s="17"/>
      <c r="BI44" s="17"/>
      <c r="BJ44" s="17"/>
      <c r="BK44" s="17"/>
      <c r="BL44" s="17"/>
      <c r="BM44" s="17"/>
      <c r="BN44" s="17"/>
      <c r="BO44" s="17"/>
      <c r="BP44" s="17"/>
      <c r="BQ44" s="17"/>
      <c r="BR44" s="17"/>
      <c r="BS44" s="17"/>
      <c r="BT44" s="17"/>
    </row>
    <row r="45" ht="12.0" customHeight="1">
      <c r="A45" s="17"/>
      <c r="B45" s="17" t="s">
        <v>86</v>
      </c>
      <c r="C45" s="57">
        <f t="shared" ref="C45:C46" si="11">C13+G41</f>
        <v>-6.985503855</v>
      </c>
      <c r="D45" s="17" t="s">
        <v>61</v>
      </c>
      <c r="E45" s="39">
        <f>SQRT(C41)</f>
        <v>0.9191377284</v>
      </c>
      <c r="F45" s="17" t="s">
        <v>61</v>
      </c>
      <c r="G45" s="29">
        <f t="shared" ref="G45:G46" si="12">TINV(0.05,C$39)*E45</f>
        <v>1.931036712</v>
      </c>
      <c r="H45" s="17"/>
      <c r="I45" s="17" t="s">
        <v>87</v>
      </c>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t="s">
        <v>86</v>
      </c>
      <c r="AY45" s="57" t="str">
        <f t="shared" ref="AY45:AY46" si="13">AY13+BE41</f>
        <v>#REF!</v>
      </c>
      <c r="AZ45" s="17" t="s">
        <v>61</v>
      </c>
      <c r="BA45" s="39" t="str">
        <f>SQRT(AY41)</f>
        <v>#REF!</v>
      </c>
      <c r="BB45" s="17" t="s">
        <v>61</v>
      </c>
      <c r="BC45" s="29" t="str">
        <f t="shared" ref="BC45:BC46" si="14">TINV(0.05,C$74)*BA45</f>
        <v>#REF!</v>
      </c>
      <c r="BD45" s="17"/>
      <c r="BE45" s="17" t="s">
        <v>87</v>
      </c>
      <c r="BF45" s="17"/>
      <c r="BG45" s="17"/>
      <c r="BH45" s="17"/>
      <c r="BI45" s="17"/>
      <c r="BJ45" s="17"/>
      <c r="BK45" s="17"/>
      <c r="BL45" s="17"/>
      <c r="BM45" s="17"/>
      <c r="BN45" s="17"/>
      <c r="BO45" s="17"/>
      <c r="BP45" s="17"/>
      <c r="BQ45" s="17"/>
      <c r="BR45" s="17"/>
      <c r="BS45" s="17"/>
      <c r="BT45" s="17"/>
    </row>
    <row r="46" ht="12.0" customHeight="1">
      <c r="A46" s="17"/>
      <c r="B46" s="17" t="s">
        <v>88</v>
      </c>
      <c r="C46" s="57">
        <f t="shared" si="11"/>
        <v>13.71018293</v>
      </c>
      <c r="D46" s="17" t="s">
        <v>64</v>
      </c>
      <c r="E46" s="39">
        <f>SQRT(D42)</f>
        <v>16.14961935</v>
      </c>
      <c r="F46" s="17" t="s">
        <v>64</v>
      </c>
      <c r="G46" s="29">
        <f t="shared" si="12"/>
        <v>33.92909124</v>
      </c>
      <c r="H46" s="17"/>
      <c r="I46" s="30">
        <f>D41/(SQRT(C41)*SQRT(D42))</f>
        <v>-0.8688915774</v>
      </c>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t="s">
        <v>88</v>
      </c>
      <c r="AY46" s="57">
        <f t="shared" si="13"/>
        <v>0</v>
      </c>
      <c r="AZ46" s="17" t="s">
        <v>64</v>
      </c>
      <c r="BA46" s="39">
        <f>SQRT(AZ42)</f>
        <v>0</v>
      </c>
      <c r="BB46" s="17" t="s">
        <v>64</v>
      </c>
      <c r="BC46" s="29">
        <f t="shared" si="14"/>
        <v>0</v>
      </c>
      <c r="BD46" s="17"/>
      <c r="BE46" s="30" t="str">
        <f>AZ41/(SQRT(AY41)*SQRT(AZ42))</f>
        <v>#REF!</v>
      </c>
      <c r="BF46" s="17"/>
      <c r="BG46" s="17"/>
      <c r="BH46" s="17"/>
      <c r="BI46" s="17"/>
      <c r="BJ46" s="17"/>
      <c r="BK46" s="17"/>
      <c r="BL46" s="17"/>
      <c r="BM46" s="17"/>
      <c r="BN46" s="17"/>
      <c r="BO46" s="17"/>
      <c r="BP46" s="17"/>
      <c r="BQ46" s="17"/>
      <c r="BR46" s="17"/>
      <c r="BS46" s="17"/>
      <c r="BT46" s="17"/>
    </row>
    <row r="47" ht="12.0" customHeight="1">
      <c r="A47" s="17"/>
      <c r="B47" s="17"/>
      <c r="C47" s="30"/>
      <c r="D47" s="17"/>
      <c r="E47" s="29"/>
      <c r="F47" s="17"/>
      <c r="G47" s="29"/>
      <c r="H47" s="17"/>
      <c r="I47" s="30"/>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57"/>
      <c r="AZ47" s="17"/>
      <c r="BA47" s="39"/>
      <c r="BB47" s="17"/>
      <c r="BC47" s="29"/>
      <c r="BD47" s="17"/>
      <c r="BE47" s="30"/>
      <c r="BF47" s="17"/>
      <c r="BG47" s="17"/>
      <c r="BH47" s="17"/>
      <c r="BI47" s="17"/>
      <c r="BJ47" s="17"/>
      <c r="BK47" s="17"/>
      <c r="BL47" s="17"/>
      <c r="BM47" s="17"/>
      <c r="BN47" s="17"/>
      <c r="BO47" s="17"/>
      <c r="BP47" s="17"/>
      <c r="BQ47" s="17"/>
      <c r="BR47" s="17"/>
      <c r="BS47" s="17"/>
      <c r="BT47" s="17"/>
    </row>
    <row r="48" ht="12.0" customHeight="1">
      <c r="A48" s="17" t="s">
        <v>89</v>
      </c>
      <c r="B48" s="17"/>
      <c r="C48" s="17"/>
      <c r="D48" s="6">
        <v>654.321</v>
      </c>
      <c r="E48" s="17" t="s">
        <v>90</v>
      </c>
      <c r="F48" s="17"/>
      <c r="G48" s="29"/>
      <c r="H48" s="17"/>
      <c r="I48" s="30"/>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57"/>
      <c r="AZ48" s="17"/>
      <c r="BA48" s="39"/>
      <c r="BB48" s="17"/>
      <c r="BC48" s="29"/>
      <c r="BD48" s="17"/>
      <c r="BE48" s="30"/>
      <c r="BF48" s="17"/>
      <c r="BG48" s="17"/>
      <c r="BH48" s="17"/>
      <c r="BI48" s="17"/>
      <c r="BJ48" s="17"/>
      <c r="BK48" s="17"/>
      <c r="BL48" s="17"/>
      <c r="BM48" s="17"/>
      <c r="BN48" s="17"/>
      <c r="BO48" s="17"/>
      <c r="BP48" s="17"/>
      <c r="BQ48" s="17"/>
      <c r="BR48" s="17"/>
      <c r="BS48" s="17"/>
      <c r="BT48" s="17"/>
    </row>
    <row r="49" ht="12.0" customHeight="1">
      <c r="A49" s="17"/>
      <c r="B49" s="17"/>
      <c r="C49" s="17"/>
      <c r="D49" s="23">
        <f>D48+C45/1000+C46*D48/1000000</f>
        <v>654.3229854</v>
      </c>
      <c r="E49" s="17" t="s">
        <v>91</v>
      </c>
      <c r="F49" s="17"/>
      <c r="G49" s="29"/>
      <c r="H49" s="17"/>
      <c r="I49" s="30"/>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57"/>
      <c r="AZ49" s="17"/>
      <c r="BA49" s="39"/>
      <c r="BB49" s="17"/>
      <c r="BC49" s="29"/>
      <c r="BD49" s="17"/>
      <c r="BE49" s="30"/>
      <c r="BF49" s="17"/>
      <c r="BG49" s="17"/>
      <c r="BH49" s="17"/>
      <c r="BI49" s="17"/>
      <c r="BJ49" s="17"/>
      <c r="BK49" s="17"/>
      <c r="BL49" s="17"/>
      <c r="BM49" s="17"/>
      <c r="BN49" s="17"/>
      <c r="BO49" s="17"/>
      <c r="BP49" s="17"/>
      <c r="BQ49" s="17"/>
      <c r="BR49" s="17"/>
      <c r="BS49" s="17"/>
      <c r="BT49" s="17"/>
    </row>
    <row r="50" ht="12.0" customHeight="1">
      <c r="A50" s="17"/>
      <c r="B50" s="17"/>
      <c r="C50" s="30"/>
      <c r="D50" s="17"/>
      <c r="E50" s="29"/>
      <c r="F50" s="17"/>
      <c r="G50" s="29"/>
      <c r="H50" s="17"/>
      <c r="I50" s="30"/>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57"/>
      <c r="AZ50" s="17"/>
      <c r="BA50" s="39"/>
      <c r="BB50" s="17"/>
      <c r="BC50" s="29"/>
      <c r="BD50" s="17"/>
      <c r="BE50" s="30"/>
      <c r="BF50" s="17"/>
      <c r="BG50" s="17"/>
      <c r="BH50" s="17"/>
      <c r="BI50" s="17"/>
      <c r="BJ50" s="17"/>
      <c r="BK50" s="17"/>
      <c r="BL50" s="17"/>
      <c r="BM50" s="17"/>
      <c r="BN50" s="17"/>
      <c r="BO50" s="17"/>
      <c r="BP50" s="17"/>
      <c r="BQ50" s="17"/>
      <c r="BR50" s="17"/>
      <c r="BS50" s="17"/>
      <c r="BT50" s="17"/>
    </row>
    <row r="51" ht="12.75" customHeight="1">
      <c r="A51" s="15" t="s">
        <v>92</v>
      </c>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row>
    <row r="52" ht="12.75" customHeight="1">
      <c r="A52" s="20" t="s">
        <v>54</v>
      </c>
      <c r="B52" s="17"/>
      <c r="C52" s="19">
        <v>0.0</v>
      </c>
      <c r="D52" s="17" t="s">
        <v>55</v>
      </c>
      <c r="E52" s="17"/>
      <c r="F52" s="15"/>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row>
    <row r="53" ht="12.75" customHeight="1">
      <c r="A53" s="20" t="s">
        <v>56</v>
      </c>
      <c r="B53" s="17"/>
      <c r="C53" s="19">
        <v>10.0</v>
      </c>
      <c r="D53" s="17" t="s">
        <v>55</v>
      </c>
      <c r="E53" s="17"/>
      <c r="F53" s="15"/>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row>
    <row r="54" ht="12.0" customHeight="1">
      <c r="A54" s="20" t="s">
        <v>57</v>
      </c>
      <c r="B54" s="17"/>
      <c r="C54" s="19">
        <v>30.0</v>
      </c>
      <c r="D54" s="17" t="s">
        <v>55</v>
      </c>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row>
    <row r="55" ht="12.0" customHeight="1">
      <c r="A55" s="20" t="s">
        <v>58</v>
      </c>
      <c r="B55" s="17"/>
      <c r="C55" s="19">
        <v>60.0</v>
      </c>
      <c r="D55" s="17" t="s">
        <v>55</v>
      </c>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row>
    <row r="56" ht="12.0" customHeight="1">
      <c r="A56" s="20" t="s">
        <v>94</v>
      </c>
      <c r="B56" s="17"/>
      <c r="C56" s="19">
        <v>99.998</v>
      </c>
      <c r="D56" s="17" t="s">
        <v>55</v>
      </c>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row>
    <row r="57" ht="12.0" customHeight="1">
      <c r="A57" s="17" t="s">
        <v>59</v>
      </c>
      <c r="B57" s="17"/>
      <c r="C57" s="6"/>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row>
    <row r="58" ht="12.0" customHeight="1">
      <c r="A58" s="17" t="s">
        <v>60</v>
      </c>
      <c r="B58" s="17"/>
      <c r="C58" s="24">
        <v>0.0</v>
      </c>
      <c r="D58" s="17" t="s">
        <v>61</v>
      </c>
      <c r="E58" s="17"/>
      <c r="F58" s="17">
        <f>C58/1000</f>
        <v>0</v>
      </c>
      <c r="G58" s="17" t="s">
        <v>62</v>
      </c>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row>
    <row r="59" ht="12.0" customHeight="1">
      <c r="A59" s="17" t="s">
        <v>63</v>
      </c>
      <c r="B59" s="17"/>
      <c r="C59" s="25">
        <v>0.0</v>
      </c>
      <c r="D59" s="17" t="s">
        <v>64</v>
      </c>
      <c r="E59" s="17"/>
      <c r="F59" s="17">
        <f>C59/1000000</f>
        <v>0</v>
      </c>
      <c r="G59" s="17" t="s">
        <v>65</v>
      </c>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row>
    <row r="60" ht="12.0" customHeight="1">
      <c r="A60" s="17" t="s">
        <v>66</v>
      </c>
      <c r="B60" s="17"/>
      <c r="C60" s="26">
        <v>2.0</v>
      </c>
      <c r="D60" s="17" t="s">
        <v>67</v>
      </c>
      <c r="E60" s="26">
        <v>0.7</v>
      </c>
      <c r="F60" s="17" t="s">
        <v>64</v>
      </c>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row>
    <row r="61" ht="12.75" customHeight="1">
      <c r="A61" s="15" t="s">
        <v>68</v>
      </c>
      <c r="B61" s="17"/>
      <c r="C61" s="17"/>
      <c r="D61" s="17"/>
      <c r="E61" s="17"/>
      <c r="F61" s="15"/>
      <c r="G61" s="17"/>
      <c r="H61" s="17"/>
      <c r="I61" s="17"/>
      <c r="J61" s="17"/>
      <c r="K61" s="17" t="s">
        <v>69</v>
      </c>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row>
    <row r="62" ht="12.75" customHeight="1">
      <c r="A62" s="27" t="s">
        <v>16</v>
      </c>
      <c r="B62" s="17" t="s">
        <v>17</v>
      </c>
      <c r="C62" s="17" t="s">
        <v>70</v>
      </c>
      <c r="D62" s="17" t="s">
        <v>71</v>
      </c>
      <c r="E62" s="17" t="s">
        <v>72</v>
      </c>
      <c r="F62" s="15" t="s">
        <v>73</v>
      </c>
      <c r="G62" s="17"/>
      <c r="H62" s="17"/>
      <c r="I62" s="20" t="s">
        <v>74</v>
      </c>
      <c r="J62" s="17"/>
      <c r="K62" s="20" t="s">
        <v>75</v>
      </c>
      <c r="L62" s="17"/>
      <c r="M62" s="20" t="s">
        <v>76</v>
      </c>
      <c r="N62" s="20"/>
      <c r="O62" s="15"/>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row>
    <row r="63" ht="12.0" customHeight="1">
      <c r="A63" s="18">
        <v>1.0</v>
      </c>
      <c r="B63" s="17">
        <v>2.0</v>
      </c>
      <c r="C63" s="19">
        <v>10.005</v>
      </c>
      <c r="D63" s="22">
        <f>C53-C52</f>
        <v>10</v>
      </c>
      <c r="E63" s="28">
        <f t="shared" ref="E63:E72" si="15">C$60+E$60*D63/1000</f>
        <v>2.007</v>
      </c>
      <c r="F63" s="29">
        <f t="shared" ref="F63:F72" si="16">-1/E63</f>
        <v>-0.4982561036</v>
      </c>
      <c r="G63" s="30">
        <f t="shared" ref="G63:G72" si="17">-(D63/1000)/E63</f>
        <v>-0.004982561036</v>
      </c>
      <c r="H63" s="17"/>
      <c r="I63" s="29">
        <f t="shared" ref="I63:I72" si="18">-1000*(D63-F$58-F$59*D63-C63)/E63</f>
        <v>2.491280518</v>
      </c>
      <c r="J63" s="17"/>
      <c r="K63" s="29">
        <f t="shared" ref="K63:K72" si="19">M63*E63</f>
        <v>1.848402026</v>
      </c>
      <c r="L63" s="29"/>
      <c r="M63" s="31">
        <f t="array" ref="M63:M72">MMULT(F63:G72,G76:G77)-I63:I72</f>
        <v>0.9209775914</v>
      </c>
      <c r="N63" s="32"/>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row>
    <row r="64" ht="12.0" customHeight="1">
      <c r="A64" s="18">
        <v>1.0</v>
      </c>
      <c r="B64" s="17">
        <v>3.0</v>
      </c>
      <c r="C64" s="19">
        <v>30.006</v>
      </c>
      <c r="D64" s="22">
        <f>C54-C52</f>
        <v>30</v>
      </c>
      <c r="E64" s="28">
        <f t="shared" si="15"/>
        <v>2.021</v>
      </c>
      <c r="F64" s="29">
        <f t="shared" si="16"/>
        <v>-0.4948045522</v>
      </c>
      <c r="G64" s="30">
        <f t="shared" si="17"/>
        <v>-0.01484413657</v>
      </c>
      <c r="H64" s="17"/>
      <c r="I64" s="29">
        <f t="shared" si="18"/>
        <v>2.968827313</v>
      </c>
      <c r="J64" s="17"/>
      <c r="K64" s="29">
        <f t="shared" si="19"/>
        <v>0.5741983675</v>
      </c>
      <c r="L64" s="29"/>
      <c r="M64" s="31">
        <v>0.2841159660971937</v>
      </c>
      <c r="N64" s="32"/>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row>
    <row r="65" ht="12.0" customHeight="1">
      <c r="A65" s="18">
        <v>1.0</v>
      </c>
      <c r="B65" s="17">
        <v>4.0</v>
      </c>
      <c r="C65" s="19">
        <v>60.004</v>
      </c>
      <c r="D65" s="22">
        <f>C55-C52</f>
        <v>60</v>
      </c>
      <c r="E65" s="28">
        <f t="shared" si="15"/>
        <v>2.042</v>
      </c>
      <c r="F65" s="29">
        <f t="shared" si="16"/>
        <v>-0.4897159647</v>
      </c>
      <c r="G65" s="30">
        <f t="shared" si="17"/>
        <v>-0.02938295788</v>
      </c>
      <c r="H65" s="17"/>
      <c r="I65" s="29">
        <f t="shared" si="18"/>
        <v>1.958863859</v>
      </c>
      <c r="J65" s="17"/>
      <c r="K65" s="29">
        <f t="shared" si="19"/>
        <v>2.16289288</v>
      </c>
      <c r="L65" s="29"/>
      <c r="M65" s="31">
        <v>1.0592031731882623</v>
      </c>
      <c r="N65" s="32"/>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row>
    <row r="66" ht="12.0" customHeight="1">
      <c r="A66" s="18">
        <v>1.0</v>
      </c>
      <c r="B66" s="17">
        <v>5.0</v>
      </c>
      <c r="C66" s="19">
        <v>100.002</v>
      </c>
      <c r="D66" s="22">
        <f>C56-C52</f>
        <v>99.998</v>
      </c>
      <c r="E66" s="28">
        <f t="shared" si="15"/>
        <v>2.0699986</v>
      </c>
      <c r="F66" s="29">
        <f t="shared" si="16"/>
        <v>-0.4830921142</v>
      </c>
      <c r="G66" s="30">
        <f t="shared" si="17"/>
        <v>-0.04830824523</v>
      </c>
      <c r="H66" s="17"/>
      <c r="I66" s="29">
        <f t="shared" si="18"/>
        <v>1.932368457</v>
      </c>
      <c r="J66" s="17"/>
      <c r="K66" s="29">
        <f t="shared" si="19"/>
        <v>1.614512983</v>
      </c>
      <c r="L66" s="29"/>
      <c r="M66" s="31">
        <v>0.7799584902669991</v>
      </c>
      <c r="N66" s="32"/>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row>
    <row r="67" ht="12.0" customHeight="1">
      <c r="A67" s="18">
        <v>2.0</v>
      </c>
      <c r="B67" s="17">
        <v>3.0</v>
      </c>
      <c r="C67" s="19">
        <v>20.008</v>
      </c>
      <c r="D67" s="22">
        <f>C54-C53</f>
        <v>20</v>
      </c>
      <c r="E67" s="28">
        <f t="shared" si="15"/>
        <v>2.014</v>
      </c>
      <c r="F67" s="29">
        <f t="shared" si="16"/>
        <v>-0.4965243297</v>
      </c>
      <c r="G67" s="30">
        <f t="shared" si="17"/>
        <v>-0.009930486594</v>
      </c>
      <c r="H67" s="17"/>
      <c r="I67" s="29">
        <f t="shared" si="18"/>
        <v>3.972194638</v>
      </c>
      <c r="J67" s="17"/>
      <c r="K67" s="29">
        <f t="shared" si="19"/>
        <v>-1.288699803</v>
      </c>
      <c r="L67" s="29"/>
      <c r="M67" s="31">
        <v>-0.6398708059773166</v>
      </c>
      <c r="N67" s="32"/>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row>
    <row r="68" ht="12.0" customHeight="1">
      <c r="A68" s="18">
        <v>2.0</v>
      </c>
      <c r="B68" s="17">
        <v>4.0</v>
      </c>
      <c r="C68" s="19">
        <v>50.003</v>
      </c>
      <c r="D68" s="22">
        <f>C55-C53</f>
        <v>50</v>
      </c>
      <c r="E68" s="28">
        <f t="shared" si="15"/>
        <v>2.035</v>
      </c>
      <c r="F68" s="29">
        <f t="shared" si="16"/>
        <v>-0.4914004914</v>
      </c>
      <c r="G68" s="30">
        <f t="shared" si="17"/>
        <v>-0.02457002457</v>
      </c>
      <c r="H68" s="17"/>
      <c r="I68" s="29">
        <f t="shared" si="18"/>
        <v>1.474201474</v>
      </c>
      <c r="J68" s="17"/>
      <c r="K68" s="29">
        <f t="shared" si="19"/>
        <v>3.299994709</v>
      </c>
      <c r="L68" s="29"/>
      <c r="M68" s="31">
        <v>1.6216190215853796</v>
      </c>
      <c r="N68" s="32"/>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row>
    <row r="69" ht="12.0" customHeight="1">
      <c r="A69" s="18">
        <v>2.0</v>
      </c>
      <c r="B69" s="17">
        <v>5.0</v>
      </c>
      <c r="C69" s="19">
        <v>90.006</v>
      </c>
      <c r="D69" s="22">
        <f>C56-C53</f>
        <v>89.998</v>
      </c>
      <c r="E69" s="28">
        <f t="shared" si="15"/>
        <v>2.0629986</v>
      </c>
      <c r="F69" s="29">
        <f t="shared" si="16"/>
        <v>-0.4847313033</v>
      </c>
      <c r="G69" s="30">
        <f t="shared" si="17"/>
        <v>-0.04362484783</v>
      </c>
      <c r="H69" s="17"/>
      <c r="I69" s="29">
        <f t="shared" si="18"/>
        <v>3.877850426</v>
      </c>
      <c r="J69" s="17"/>
      <c r="K69" s="29">
        <f t="shared" si="19"/>
        <v>-2.248385188</v>
      </c>
      <c r="L69" s="29"/>
      <c r="M69" s="31">
        <v>-1.0898626823188047</v>
      </c>
      <c r="N69" s="32"/>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row>
    <row r="70" ht="12.0" customHeight="1">
      <c r="A70" s="18">
        <v>3.0</v>
      </c>
      <c r="B70" s="17">
        <v>4.0</v>
      </c>
      <c r="C70" s="19">
        <v>30.01</v>
      </c>
      <c r="D70" s="22">
        <f>C55-C54</f>
        <v>30</v>
      </c>
      <c r="E70" s="28">
        <f t="shared" si="15"/>
        <v>2.021</v>
      </c>
      <c r="F70" s="29">
        <f t="shared" si="16"/>
        <v>-0.4948045522</v>
      </c>
      <c r="G70" s="30">
        <f t="shared" si="17"/>
        <v>-0.01484413657</v>
      </c>
      <c r="H70" s="17"/>
      <c r="I70" s="29">
        <f t="shared" si="18"/>
        <v>4.948045522</v>
      </c>
      <c r="J70" s="17"/>
      <c r="K70" s="29">
        <f t="shared" si="19"/>
        <v>-3.425801633</v>
      </c>
      <c r="L70" s="29"/>
      <c r="M70" s="31">
        <v>-1.6951022427109885</v>
      </c>
      <c r="N70" s="32"/>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row>
    <row r="71" ht="12.0" customHeight="1">
      <c r="A71" s="18">
        <v>3.0</v>
      </c>
      <c r="B71" s="17">
        <v>5.0</v>
      </c>
      <c r="C71" s="19">
        <v>70.006</v>
      </c>
      <c r="D71" s="22">
        <f>C56-C54</f>
        <v>69.998</v>
      </c>
      <c r="E71" s="28">
        <f t="shared" si="15"/>
        <v>2.0489986</v>
      </c>
      <c r="F71" s="29">
        <f t="shared" si="16"/>
        <v>-0.4880432812</v>
      </c>
      <c r="G71" s="30">
        <f t="shared" si="17"/>
        <v>-0.0341620536</v>
      </c>
      <c r="H71" s="17"/>
      <c r="I71" s="29">
        <f t="shared" si="18"/>
        <v>3.90434625</v>
      </c>
      <c r="J71" s="17"/>
      <c r="K71" s="29">
        <f t="shared" si="19"/>
        <v>-1.974181529</v>
      </c>
      <c r="L71" s="29"/>
      <c r="M71" s="31">
        <v>-0.9634860313031175</v>
      </c>
      <c r="N71" s="32"/>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row>
    <row r="72" ht="12.0" customHeight="1">
      <c r="A72" s="18">
        <v>4.0</v>
      </c>
      <c r="B72" s="17">
        <v>5.0</v>
      </c>
      <c r="C72" s="19">
        <v>40.005</v>
      </c>
      <c r="D72" s="22">
        <f>C56-C55</f>
        <v>39.998</v>
      </c>
      <c r="E72" s="28">
        <f t="shared" si="15"/>
        <v>2.0279986</v>
      </c>
      <c r="F72" s="29">
        <f t="shared" si="16"/>
        <v>-0.4930969873</v>
      </c>
      <c r="G72" s="30">
        <f t="shared" si="17"/>
        <v>-0.0197228933</v>
      </c>
      <c r="H72" s="17"/>
      <c r="I72" s="29">
        <f t="shared" si="18"/>
        <v>3.451678911</v>
      </c>
      <c r="J72" s="17"/>
      <c r="K72" s="29">
        <f t="shared" si="19"/>
        <v>-0.5628760414</v>
      </c>
      <c r="L72" s="29"/>
      <c r="M72" s="31">
        <v>-0.27755248027662915</v>
      </c>
      <c r="N72" s="32"/>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row>
    <row r="73" ht="12.0" customHeight="1">
      <c r="A73" s="17"/>
      <c r="B73" s="27" t="s">
        <v>77</v>
      </c>
      <c r="C73" s="17">
        <f>COUNT(C63:C72)</f>
        <v>10</v>
      </c>
      <c r="D73" s="17"/>
      <c r="E73" s="17"/>
      <c r="F73" s="17"/>
      <c r="G73" s="17"/>
      <c r="H73" s="17"/>
      <c r="I73" s="17"/>
      <c r="J73" s="17"/>
      <c r="K73" s="17"/>
      <c r="L73" s="17"/>
      <c r="M73" s="32"/>
      <c r="N73" s="2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row>
    <row r="74" ht="12.0" customHeight="1">
      <c r="A74" s="17"/>
      <c r="B74" s="27" t="s">
        <v>78</v>
      </c>
      <c r="C74" s="17">
        <f>C73-2</f>
        <v>8</v>
      </c>
      <c r="D74" s="17"/>
      <c r="E74" s="27"/>
      <c r="F74" s="17"/>
      <c r="G74" s="17"/>
      <c r="H74" s="17"/>
      <c r="I74" s="17"/>
      <c r="J74" s="17"/>
      <c r="K74" s="17"/>
      <c r="L74" s="27" t="s">
        <v>79</v>
      </c>
      <c r="M74" s="31">
        <f>SUMSQ(M63:M72)/(C74)</f>
        <v>1.345595513</v>
      </c>
      <c r="N74" s="2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row>
    <row r="75" ht="12.0" customHeight="1">
      <c r="A75" s="17"/>
      <c r="B75" s="27"/>
      <c r="C75" s="17"/>
      <c r="D75" s="17"/>
      <c r="E75" s="27"/>
      <c r="F75" s="17"/>
      <c r="G75" s="17"/>
      <c r="H75" s="17"/>
      <c r="I75" s="17"/>
      <c r="J75" s="17"/>
      <c r="K75" s="17"/>
      <c r="L75" s="17"/>
      <c r="M75" s="32"/>
      <c r="N75" s="2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row>
    <row r="76" ht="12.0" customHeight="1">
      <c r="A76" s="17"/>
      <c r="B76" s="17" t="s">
        <v>93</v>
      </c>
      <c r="C76" s="33">
        <f t="array" ref="C76:D77">MINVERSE(MMULT(TRANSPOSE(F63:G72),F63:G72))</f>
        <v>1.689628327</v>
      </c>
      <c r="D76" s="34">
        <v>-25.79517429458125</v>
      </c>
      <c r="F76" s="17" t="s">
        <v>81</v>
      </c>
      <c r="G76" s="35">
        <f t="array" ref="G76:G77">MMULT(C76:D77,MMULT(TRANSPOSE(F63:G72),I63:I72))</f>
        <v>-6.985503855</v>
      </c>
      <c r="H76" s="17"/>
      <c r="I76" s="17"/>
      <c r="J76" s="17"/>
      <c r="K76" s="17"/>
      <c r="L76" s="17"/>
      <c r="M76" s="17"/>
      <c r="N76" s="32"/>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row>
    <row r="77" ht="12.0" customHeight="1">
      <c r="A77" s="17"/>
      <c r="B77" s="17"/>
      <c r="C77" s="36">
        <v>-25.795174294581248</v>
      </c>
      <c r="D77" s="37">
        <v>521.6204104738845</v>
      </c>
      <c r="F77" s="17"/>
      <c r="G77" s="38">
        <v>13.710182927814742</v>
      </c>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row>
    <row r="78" ht="12.0" customHeight="1">
      <c r="A78" s="17"/>
      <c r="B78" s="17"/>
      <c r="C78" s="17"/>
      <c r="D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row>
    <row r="79" ht="12.0" customHeight="1">
      <c r="A79" s="17"/>
      <c r="B79" s="17"/>
      <c r="C79" s="17" t="s">
        <v>83</v>
      </c>
      <c r="D79" s="17"/>
      <c r="E79" s="17" t="s">
        <v>84</v>
      </c>
      <c r="F79" s="17"/>
      <c r="G79" s="17" t="s">
        <v>85</v>
      </c>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row>
    <row r="80" ht="12.0" customHeight="1">
      <c r="A80" s="17"/>
      <c r="B80" s="17" t="s">
        <v>86</v>
      </c>
      <c r="C80" s="57">
        <f t="shared" ref="C80:C81" si="20">C58+G76</f>
        <v>-6.985503855</v>
      </c>
      <c r="D80" s="17" t="s">
        <v>61</v>
      </c>
      <c r="E80" s="39">
        <f>SQRT(C76)</f>
        <v>1.299857041</v>
      </c>
      <c r="F80" s="17" t="s">
        <v>61</v>
      </c>
      <c r="G80" s="29">
        <f t="shared" ref="G80:G81" si="21">TINV(0.05,C$74)*E80</f>
        <v>2.997475712</v>
      </c>
      <c r="H80" s="17"/>
      <c r="I80" s="17" t="s">
        <v>87</v>
      </c>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row>
    <row r="81" ht="12.0" customHeight="1">
      <c r="A81" s="17"/>
      <c r="B81" s="17" t="s">
        <v>88</v>
      </c>
      <c r="C81" s="57">
        <f t="shared" si="20"/>
        <v>13.71018293</v>
      </c>
      <c r="D81" s="17" t="s">
        <v>64</v>
      </c>
      <c r="E81" s="39">
        <f>SQRT(D77)</f>
        <v>22.83901072</v>
      </c>
      <c r="F81" s="17" t="s">
        <v>64</v>
      </c>
      <c r="G81" s="29">
        <f t="shared" si="21"/>
        <v>52.66685315</v>
      </c>
      <c r="H81" s="17"/>
      <c r="I81" s="30">
        <f>D76/(SQRT(C76)*SQRT(D77))</f>
        <v>-0.8688915774</v>
      </c>
      <c r="J81" s="17"/>
      <c r="K81" s="17"/>
      <c r="L81" s="17"/>
      <c r="M81" s="17"/>
      <c r="N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row>
    <row r="82" ht="12.0" customHeight="1">
      <c r="A82" s="17"/>
      <c r="B82" s="17"/>
      <c r="C82" s="40"/>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row>
    <row r="83" ht="12.0" customHeight="1">
      <c r="A83" s="17" t="s">
        <v>89</v>
      </c>
      <c r="B83" s="17"/>
      <c r="C83" s="17"/>
      <c r="D83" s="6">
        <v>654.321</v>
      </c>
      <c r="E83" s="17" t="s">
        <v>90</v>
      </c>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row>
    <row r="84" ht="12.0" customHeight="1">
      <c r="A84" s="17"/>
      <c r="B84" s="17"/>
      <c r="C84" s="17"/>
      <c r="D84" s="23">
        <f>D83+C80/1000+C81*D83/1000000</f>
        <v>654.3229854</v>
      </c>
      <c r="E84" s="17" t="s">
        <v>91</v>
      </c>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row>
    <row r="85" ht="12.0"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row>
    <row r="86" ht="12.0"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row>
    <row r="87" ht="12.0"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row>
    <row r="88" ht="12.0"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row>
    <row r="89" ht="12.0"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row>
    <row r="90" ht="12.0"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row>
    <row r="91" ht="12.0"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row>
    <row r="92" ht="12.0"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row>
    <row r="93" ht="12.0"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row>
    <row r="94" ht="12.0"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row>
    <row r="95" ht="12.0"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row>
    <row r="96" ht="12.0"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row>
    <row r="97" ht="12.0"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row>
    <row r="98" ht="12.0"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row>
    <row r="99" ht="12.0"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row>
    <row r="100" ht="12.0"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row>
    <row r="101" ht="12.0"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row>
    <row r="102" ht="12.0"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row>
    <row r="103" ht="12.0"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row>
    <row r="104" ht="12.0"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row>
    <row r="105" ht="12.0"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row>
    <row r="106" ht="12.0"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row>
    <row r="107" ht="12.0"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row>
    <row r="108" ht="12.0"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row>
    <row r="109" ht="12.0"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row>
    <row r="110" ht="12.0"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row>
    <row r="111" ht="12.0"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row>
    <row r="112" ht="12.0"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row>
    <row r="113" ht="12.0"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row>
    <row r="114" ht="12.0"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row>
    <row r="115" ht="12.0"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row>
    <row r="116" ht="12.0"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row>
    <row r="117" ht="12.0"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row>
    <row r="118" ht="12.0"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row>
    <row r="119" ht="12.0"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row>
    <row r="120" ht="12.0"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row>
    <row r="121" ht="12.0"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row>
    <row r="122" ht="12.0"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row>
    <row r="123" ht="12.0"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row>
    <row r="124" ht="12.0"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row>
    <row r="125" ht="12.0"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row>
    <row r="126" ht="12.0"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row>
    <row r="127" ht="12.0"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row>
    <row r="128" ht="12.0"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row>
    <row r="129" ht="12.0"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row>
    <row r="130" ht="12.0"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row>
    <row r="131" ht="12.0"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row>
    <row r="132" ht="12.0"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row>
    <row r="133" ht="12.0"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row>
    <row r="134" ht="12.0"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row>
    <row r="135" ht="12.0"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row>
    <row r="136" ht="12.0"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row>
    <row r="137" ht="12.0"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row>
    <row r="138" ht="12.0"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row>
    <row r="139" ht="12.0"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row>
    <row r="140" ht="12.0"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row>
    <row r="141" ht="12.0"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row>
    <row r="142" ht="12.0"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row>
    <row r="143" ht="12.0"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row>
    <row r="144" ht="12.0"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row>
    <row r="145" ht="12.0"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row>
    <row r="146" ht="12.0"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row>
    <row r="147" ht="12.0"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row>
    <row r="148" ht="12.0"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row>
    <row r="149" ht="12.0"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row>
    <row r="150" ht="12.0"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row>
    <row r="151" ht="12.0"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row>
    <row r="152" ht="12.0"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row>
    <row r="153" ht="12.0"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row>
    <row r="154" ht="12.0"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row>
    <row r="155" ht="12.0"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row>
    <row r="156" ht="12.0"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row>
    <row r="157" ht="12.0"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row>
    <row r="158" ht="12.0"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row>
    <row r="159" ht="12.0"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row>
    <row r="160" ht="12.0"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row>
    <row r="161" ht="12.0"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row>
    <row r="162" ht="12.0"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row>
    <row r="163" ht="12.0"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row>
    <row r="164" ht="12.0"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row>
    <row r="165" ht="12.0"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row>
    <row r="166" ht="12.0"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row>
    <row r="167" ht="12.0"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row>
    <row r="168" ht="12.0"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row>
    <row r="169" ht="12.0"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row>
    <row r="170" ht="12.0"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row>
    <row r="171" ht="12.0"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row>
    <row r="172" ht="12.0"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row>
    <row r="173" ht="12.0"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row>
    <row r="174" ht="12.0"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row>
    <row r="175" ht="12.0"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row>
    <row r="176" ht="12.0"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row>
    <row r="177" ht="12.0"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row>
    <row r="178" ht="12.0"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row>
    <row r="179" ht="12.0"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row>
    <row r="180" ht="12.0"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row>
    <row r="181" ht="12.0"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row>
    <row r="182" ht="12.0"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row>
    <row r="183" ht="12.0"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row>
    <row r="184" ht="12.0"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row>
    <row r="185" ht="12.0"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row>
    <row r="186" ht="12.0"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row>
    <row r="187" ht="12.0"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row>
    <row r="188" ht="12.0"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row>
    <row r="189" ht="12.0"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row>
    <row r="190" ht="12.0"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row>
    <row r="191" ht="12.0"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row>
    <row r="192" ht="12.0"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row>
    <row r="193" ht="12.0"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row>
    <row r="194" ht="12.0"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row>
    <row r="195" ht="12.0"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row>
    <row r="196" ht="12.0"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row>
    <row r="197" ht="12.0"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row>
    <row r="198" ht="12.0"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row>
    <row r="199" ht="12.0"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row>
    <row r="200" ht="12.0"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row>
    <row r="201" ht="12.0"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row>
    <row r="202" ht="12.0"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row>
    <row r="203" ht="12.0"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row>
    <row r="204" ht="12.0"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row>
    <row r="205" ht="12.0"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row>
    <row r="206" ht="12.0"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row>
    <row r="207" ht="12.0"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row>
    <row r="208" ht="12.0"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row>
    <row r="209" ht="12.0"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row>
    <row r="210" ht="12.0"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row>
    <row r="211" ht="12.0"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row>
    <row r="212" ht="12.0"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row>
    <row r="213" ht="12.0"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row>
    <row r="214" ht="12.0"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row>
    <row r="215" ht="12.0"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row>
    <row r="216" ht="12.0"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row>
    <row r="217" ht="12.0"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row>
    <row r="218" ht="12.0"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row>
    <row r="219" ht="12.0"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row>
    <row r="220" ht="12.0"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row>
    <row r="221" ht="12.0"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row>
    <row r="222" ht="12.0"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row>
    <row r="223" ht="12.0"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row>
    <row r="224" ht="12.0"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row>
    <row r="225" ht="12.0"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row>
    <row r="226" ht="12.0"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row>
    <row r="227" ht="12.0"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row>
    <row r="228" ht="12.0"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row>
    <row r="229" ht="12.0"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row>
    <row r="230" ht="12.0"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row>
    <row r="231" ht="12.0"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row>
    <row r="232" ht="12.0"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row>
    <row r="233" ht="12.0"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row>
    <row r="234" ht="12.0"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row>
    <row r="235" ht="12.0"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row>
    <row r="236" ht="12.0"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row>
    <row r="237" ht="12.0"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row>
    <row r="238" ht="12.0"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row>
    <row r="239" ht="12.0"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row>
    <row r="240" ht="12.0"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row>
    <row r="241" ht="12.0"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row>
    <row r="242" ht="12.0"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row>
    <row r="243" ht="12.0"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row>
    <row r="244" ht="12.0"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row>
    <row r="245" ht="12.0"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row>
    <row r="246" ht="12.0"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row>
    <row r="247" ht="12.0"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row>
    <row r="248" ht="12.0"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row>
    <row r="249" ht="12.0"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row>
    <row r="250" ht="12.0"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row>
    <row r="251" ht="12.0"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row>
    <row r="252" ht="12.0"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row>
    <row r="253" ht="12.0"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row>
    <row r="254" ht="12.0"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row>
    <row r="255" ht="12.0"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row>
    <row r="256" ht="12.0"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row>
    <row r="257" ht="12.0"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row>
    <row r="258" ht="12.0"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row>
    <row r="259" ht="12.0"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row>
    <row r="260" ht="12.0"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row>
    <row r="261" ht="12.0"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row>
    <row r="262" ht="12.0"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row>
    <row r="263" ht="12.0"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row>
    <row r="264" ht="12.0"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row>
    <row r="265" ht="12.0"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row>
    <row r="266" ht="12.0"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row>
    <row r="267" ht="12.0"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row>
    <row r="268" ht="12.0"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row>
    <row r="269" ht="12.0"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row>
    <row r="270" ht="12.0"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row>
    <row r="271" ht="12.0"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row>
    <row r="272" ht="12.0"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row>
    <row r="273" ht="12.0"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row>
    <row r="274" ht="12.0"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row>
    <row r="275" ht="12.0"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row>
    <row r="276" ht="12.0"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row>
    <row r="277" ht="12.0"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row>
    <row r="278" ht="12.0"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row>
    <row r="279" ht="12.0"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row>
    <row r="280" ht="12.0"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row>
    <row r="281" ht="12.0"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row>
    <row r="282" ht="12.0"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row>
    <row r="283" ht="12.0"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row>
    <row r="284" ht="12.0"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row>
    <row r="285" ht="12.0"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row>
    <row r="286" ht="12.0"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row>
    <row r="287" ht="12.0"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row>
    <row r="288" ht="12.0"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row>
    <row r="289" ht="12.0"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row>
    <row r="290" ht="12.0"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row>
    <row r="291" ht="12.0"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row>
    <row r="292" ht="12.0"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row>
    <row r="293" ht="12.0"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row>
    <row r="294" ht="12.0"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row>
    <row r="295" ht="12.0"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row>
    <row r="296" ht="12.0"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row>
    <row r="297" ht="12.0"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row>
    <row r="298" ht="12.0"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row>
    <row r="299" ht="12.0"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row>
    <row r="300" ht="12.0"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row>
    <row r="301" ht="12.0"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row>
    <row r="302" ht="12.0"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row>
    <row r="303" ht="12.0"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row>
    <row r="304" ht="12.0"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row>
    <row r="305" ht="12.0"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row>
    <row r="306" ht="12.0"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row>
    <row r="307" ht="12.0"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row>
    <row r="308" ht="12.0"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row>
    <row r="309" ht="12.0"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row>
    <row r="310" ht="12.0"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row>
    <row r="311" ht="12.0"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row>
    <row r="312" ht="12.0"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row>
    <row r="313" ht="12.0"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row>
    <row r="314" ht="12.0"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row>
    <row r="315" ht="12.0"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row>
    <row r="316" ht="12.0"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row>
    <row r="317" ht="12.0"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row>
    <row r="318" ht="12.0"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row>
    <row r="319" ht="12.0"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row>
    <row r="320" ht="12.0"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row>
    <row r="321" ht="12.0"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row>
    <row r="322" ht="12.0"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row>
    <row r="323" ht="12.0"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row>
    <row r="324" ht="12.0"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row>
    <row r="325" ht="12.0"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row>
    <row r="326" ht="12.0"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row>
    <row r="327" ht="12.0"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row>
    <row r="328" ht="12.0"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row>
    <row r="329" ht="12.0"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row>
    <row r="330" ht="12.0"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row>
    <row r="331" ht="12.0"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row>
    <row r="332" ht="12.0"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row>
    <row r="333" ht="12.0"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row>
    <row r="334" ht="12.0"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row>
    <row r="335" ht="12.0"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row>
    <row r="336" ht="12.0"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row>
    <row r="337" ht="12.0"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row>
    <row r="338" ht="12.0"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row>
    <row r="339" ht="12.0"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row>
    <row r="340" ht="12.0"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row>
    <row r="341" ht="12.0"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row>
    <row r="342" ht="12.0"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row>
    <row r="343" ht="12.0"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row>
    <row r="344" ht="12.0"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row>
    <row r="345" ht="12.0"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row>
    <row r="346" ht="12.0"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row>
    <row r="347" ht="12.0"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row>
    <row r="348" ht="12.0"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row>
    <row r="349" ht="12.0"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row>
    <row r="350" ht="12.0"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row>
    <row r="351" ht="12.0"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row>
    <row r="352" ht="12.0"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row>
    <row r="353" ht="12.0"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row>
    <row r="354" ht="12.0"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row>
    <row r="355" ht="12.0"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row>
    <row r="356" ht="12.0"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row>
    <row r="357" ht="12.0"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row>
    <row r="358" ht="12.0"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row>
    <row r="359" ht="12.0"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row>
    <row r="360" ht="12.0"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row>
    <row r="361" ht="12.0"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row>
    <row r="362" ht="12.0"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row>
    <row r="363" ht="12.0"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row>
    <row r="364" ht="12.0"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row>
    <row r="365" ht="12.0"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row>
    <row r="366" ht="12.0"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row>
    <row r="367" ht="12.0"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row>
    <row r="368" ht="12.0"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row>
    <row r="369" ht="12.0"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row>
    <row r="370" ht="12.0"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row>
    <row r="371" ht="12.0"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row>
    <row r="372" ht="12.0"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row>
    <row r="373" ht="12.0"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row>
    <row r="374" ht="12.0"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row>
    <row r="375" ht="12.0"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row>
    <row r="376" ht="12.0"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row>
    <row r="377" ht="12.0"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row>
    <row r="378" ht="12.0"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row>
    <row r="379" ht="12.0"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row>
    <row r="380" ht="12.0"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row>
    <row r="381" ht="12.0"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row>
    <row r="382" ht="12.0"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row>
    <row r="383" ht="12.0"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row>
    <row r="384" ht="12.0"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row>
    <row r="385" ht="12.0"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row>
    <row r="386" ht="12.0"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row>
    <row r="387" ht="12.0"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row>
    <row r="388" ht="12.0"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row>
    <row r="389" ht="12.0"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row>
    <row r="390" ht="12.0"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row>
    <row r="391" ht="12.0"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row>
    <row r="392" ht="12.0"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row>
    <row r="393" ht="12.0"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row>
    <row r="394" ht="12.0"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row>
    <row r="395" ht="12.0"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row>
    <row r="396" ht="12.0"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row>
    <row r="397" ht="12.0"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row>
    <row r="398" ht="12.0"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row>
    <row r="399" ht="12.0"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row>
    <row r="400" ht="12.0"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row>
    <row r="401" ht="12.0"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row>
    <row r="402" ht="12.0"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row>
    <row r="403" ht="12.0"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row>
    <row r="404" ht="12.0"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row>
    <row r="405" ht="12.0"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row>
    <row r="406" ht="12.0"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row>
    <row r="407" ht="12.0"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row>
    <row r="408" ht="12.0"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row>
    <row r="409" ht="12.0"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row>
    <row r="410" ht="12.0"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row>
    <row r="411" ht="12.0"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row>
    <row r="412" ht="12.0"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row>
    <row r="413" ht="12.0"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row>
    <row r="414" ht="12.0"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row>
    <row r="415" ht="12.0"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row>
    <row r="416" ht="12.0"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row>
    <row r="417" ht="12.0"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row>
    <row r="418" ht="12.0"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row>
    <row r="419" ht="12.0"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row>
    <row r="420" ht="12.0"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row>
    <row r="421" ht="12.0"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row>
    <row r="422" ht="12.0"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row>
    <row r="423" ht="12.0"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row>
    <row r="424" ht="12.0"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row>
    <row r="425" ht="12.0"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row>
    <row r="426" ht="12.0"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row>
    <row r="427" ht="12.0"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row>
    <row r="428" ht="12.0"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row>
    <row r="429" ht="12.0"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row>
    <row r="430" ht="12.0"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row>
    <row r="431" ht="12.0"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row>
    <row r="432" ht="12.0"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row>
    <row r="433" ht="12.0"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row>
    <row r="434" ht="12.0"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row>
    <row r="435" ht="12.0"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row>
    <row r="436" ht="12.0"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row>
    <row r="437" ht="12.0"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row>
    <row r="438" ht="12.0"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row>
    <row r="439" ht="12.0"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row>
    <row r="440" ht="12.0"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row>
    <row r="441" ht="12.0"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row>
    <row r="442" ht="12.0"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row>
    <row r="443" ht="12.0"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row>
    <row r="444" ht="12.0"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row>
    <row r="445" ht="12.0"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row>
    <row r="446" ht="12.0"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row>
    <row r="447" ht="12.0"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row>
    <row r="448" ht="12.0"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row>
    <row r="449" ht="12.0"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row>
    <row r="450" ht="12.0"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row>
    <row r="451" ht="12.0"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row>
    <row r="452" ht="12.0"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row>
    <row r="453" ht="12.0"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row>
    <row r="454" ht="12.0"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row>
    <row r="455" ht="12.0"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row>
    <row r="456" ht="12.0"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row>
    <row r="457" ht="12.0"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row>
    <row r="458" ht="12.0"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row>
    <row r="459" ht="12.0"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row>
    <row r="460" ht="12.0"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row>
    <row r="461" ht="12.0"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row>
    <row r="462" ht="12.0"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row>
    <row r="463" ht="12.0"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row>
    <row r="464" ht="12.0"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row>
    <row r="465" ht="12.0"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row>
    <row r="466" ht="12.0"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row>
    <row r="467" ht="12.0"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row>
    <row r="468" ht="12.0"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row>
    <row r="469" ht="12.0"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row>
    <row r="470" ht="12.0"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row>
    <row r="471" ht="12.0"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row>
    <row r="472" ht="12.0"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row>
    <row r="473" ht="12.0"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row>
    <row r="474" ht="12.0"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row>
    <row r="475" ht="12.0"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row>
    <row r="476" ht="12.0"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row>
    <row r="477" ht="12.0"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row>
    <row r="478" ht="12.0"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row>
    <row r="479" ht="12.0"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row>
    <row r="480" ht="12.0"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row>
    <row r="481" ht="12.0"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row>
    <row r="482" ht="12.0"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row>
    <row r="483" ht="12.0"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row>
    <row r="484" ht="12.0"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row>
    <row r="485" ht="12.0"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row>
    <row r="486" ht="12.0"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row>
    <row r="487" ht="12.0"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row>
    <row r="488" ht="12.0"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row>
    <row r="489" ht="12.0"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row>
    <row r="490" ht="12.0"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row>
    <row r="491" ht="12.0"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row>
    <row r="492" ht="12.0"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row>
    <row r="493" ht="12.0"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row>
    <row r="494" ht="12.0"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row>
    <row r="495" ht="12.0"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row>
    <row r="496" ht="12.0"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row>
    <row r="497" ht="12.0"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row>
    <row r="498" ht="12.0"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row>
    <row r="499" ht="12.0"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row>
    <row r="500" ht="12.0"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row>
    <row r="501" ht="12.0"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row>
    <row r="502" ht="12.0"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row>
    <row r="503" ht="12.0"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row>
    <row r="504" ht="12.0"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row>
    <row r="505" ht="12.0"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row>
    <row r="506" ht="12.0"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row>
    <row r="507" ht="12.0"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row>
    <row r="508" ht="12.0"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row>
    <row r="509" ht="12.0"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row>
    <row r="510" ht="12.0"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row>
    <row r="511" ht="12.0"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row>
    <row r="512" ht="12.0"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row>
    <row r="513" ht="12.0"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row>
    <row r="514" ht="12.0"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row>
    <row r="515" ht="12.0"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row>
    <row r="516" ht="12.0"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row>
    <row r="517" ht="12.0"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row>
    <row r="518" ht="12.0"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row>
    <row r="519" ht="12.0"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row>
    <row r="520" ht="12.0"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row>
    <row r="521" ht="12.0"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row>
    <row r="522" ht="12.0"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row>
    <row r="523" ht="12.0"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row>
    <row r="524" ht="12.0"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row>
    <row r="525" ht="12.0"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row>
    <row r="526" ht="12.0"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row>
    <row r="527" ht="12.0"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row>
    <row r="528" ht="12.0"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row>
    <row r="529" ht="12.0"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row>
    <row r="530" ht="12.0"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row>
    <row r="531" ht="12.0"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row>
    <row r="532" ht="12.0"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row>
    <row r="533" ht="12.0"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row>
    <row r="534" ht="12.0"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row>
    <row r="535" ht="12.0"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row>
    <row r="536" ht="12.0"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row>
    <row r="537" ht="12.0"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row>
    <row r="538" ht="12.0"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row>
    <row r="539" ht="12.0"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row>
    <row r="540" ht="12.0"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row>
    <row r="541" ht="12.0"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row>
    <row r="542" ht="12.0"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row>
    <row r="543" ht="12.0"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row>
    <row r="544" ht="12.0"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row>
    <row r="545" ht="12.0"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row>
    <row r="546" ht="12.0"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row>
    <row r="547" ht="12.0"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row>
    <row r="548" ht="12.0"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row>
    <row r="549" ht="12.0"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row>
    <row r="550" ht="12.0"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row>
    <row r="551" ht="12.0"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row>
    <row r="552" ht="12.0"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row>
    <row r="553" ht="12.0"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row>
    <row r="554" ht="12.0"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row>
    <row r="555" ht="12.0"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row>
    <row r="556" ht="12.0"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row>
    <row r="557" ht="12.0"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c r="BR557" s="17"/>
      <c r="BS557" s="17"/>
      <c r="BT557" s="17"/>
    </row>
    <row r="558" ht="12.0"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c r="BL558" s="17"/>
      <c r="BM558" s="17"/>
      <c r="BN558" s="17"/>
      <c r="BO558" s="17"/>
      <c r="BP558" s="17"/>
      <c r="BQ558" s="17"/>
      <c r="BR558" s="17"/>
      <c r="BS558" s="17"/>
      <c r="BT558" s="17"/>
    </row>
    <row r="559" ht="12.0"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c r="BR559" s="17"/>
      <c r="BS559" s="17"/>
      <c r="BT559" s="17"/>
    </row>
    <row r="560" ht="12.0"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c r="BL560" s="17"/>
      <c r="BM560" s="17"/>
      <c r="BN560" s="17"/>
      <c r="BO560" s="17"/>
      <c r="BP560" s="17"/>
      <c r="BQ560" s="17"/>
      <c r="BR560" s="17"/>
      <c r="BS560" s="17"/>
      <c r="BT560" s="17"/>
    </row>
    <row r="561" ht="12.0"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c r="BR561" s="17"/>
      <c r="BS561" s="17"/>
      <c r="BT561" s="17"/>
    </row>
    <row r="562" ht="12.0"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c r="BL562" s="17"/>
      <c r="BM562" s="17"/>
      <c r="BN562" s="17"/>
      <c r="BO562" s="17"/>
      <c r="BP562" s="17"/>
      <c r="BQ562" s="17"/>
      <c r="BR562" s="17"/>
      <c r="BS562" s="17"/>
      <c r="BT562" s="17"/>
    </row>
    <row r="563" ht="12.0"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c r="AO563" s="17"/>
      <c r="AP563" s="17"/>
      <c r="AQ563" s="17"/>
      <c r="AR563" s="17"/>
      <c r="AS563" s="17"/>
      <c r="AT563" s="17"/>
      <c r="AU563" s="17"/>
      <c r="AV563" s="17"/>
      <c r="AW563" s="17"/>
      <c r="AX563" s="17"/>
      <c r="AY563" s="17"/>
      <c r="AZ563" s="17"/>
      <c r="BA563" s="17"/>
      <c r="BB563" s="17"/>
      <c r="BC563" s="17"/>
      <c r="BD563" s="17"/>
      <c r="BE563" s="17"/>
      <c r="BF563" s="17"/>
      <c r="BG563" s="17"/>
      <c r="BH563" s="17"/>
      <c r="BI563" s="17"/>
      <c r="BJ563" s="17"/>
      <c r="BK563" s="17"/>
      <c r="BL563" s="17"/>
      <c r="BM563" s="17"/>
      <c r="BN563" s="17"/>
      <c r="BO563" s="17"/>
      <c r="BP563" s="17"/>
      <c r="BQ563" s="17"/>
      <c r="BR563" s="17"/>
      <c r="BS563" s="17"/>
      <c r="BT563" s="17"/>
    </row>
    <row r="564" ht="12.0"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c r="BL564" s="17"/>
      <c r="BM564" s="17"/>
      <c r="BN564" s="17"/>
      <c r="BO564" s="17"/>
      <c r="BP564" s="17"/>
      <c r="BQ564" s="17"/>
      <c r="BR564" s="17"/>
      <c r="BS564" s="17"/>
      <c r="BT564" s="17"/>
    </row>
    <row r="565" ht="12.0"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row>
    <row r="566" ht="12.0"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row>
    <row r="567" ht="12.0"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row>
    <row r="568" ht="12.0"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row>
    <row r="569" ht="12.0"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row>
    <row r="570" ht="12.0"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row>
    <row r="571" ht="12.0"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row>
    <row r="572" ht="12.0"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row>
    <row r="573" ht="12.0"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row>
    <row r="574" ht="12.0"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row>
    <row r="575" ht="12.0"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row>
    <row r="576" ht="12.0"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row>
    <row r="577" ht="12.0"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row>
    <row r="578" ht="12.0"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row>
    <row r="579" ht="12.0"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row>
    <row r="580" ht="12.0"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row>
    <row r="581" ht="12.0"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row>
    <row r="582" ht="12.0"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row>
    <row r="583" ht="12.0"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row>
    <row r="584" ht="12.0"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row>
    <row r="585" ht="12.0"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row>
    <row r="586" ht="12.0"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row>
    <row r="587" ht="12.0"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row>
    <row r="588" ht="12.0"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row>
    <row r="589" ht="12.0"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row>
    <row r="590" ht="12.0"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row>
    <row r="591" ht="12.0"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row>
    <row r="592" ht="12.0"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row>
    <row r="593" ht="12.0"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row>
    <row r="594" ht="12.0"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row>
    <row r="595" ht="12.0"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row>
    <row r="596" ht="12.0"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row>
    <row r="597" ht="12.0"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row>
    <row r="598" ht="12.0"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row>
    <row r="599" ht="12.0"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row>
    <row r="600" ht="12.0"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row>
    <row r="601" ht="12.0"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row>
    <row r="602" ht="12.0"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row>
    <row r="603" ht="12.0"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row>
    <row r="604" ht="12.0"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row>
    <row r="605" ht="12.0"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row>
    <row r="606" ht="12.0"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row>
    <row r="607" ht="12.0"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row>
    <row r="608" ht="12.0"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row>
    <row r="609" ht="12.0"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row>
    <row r="610" ht="12.0"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row>
    <row r="611" ht="12.0"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row>
    <row r="612" ht="12.0"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row>
    <row r="613" ht="12.0"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row>
    <row r="614" ht="12.0"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row>
    <row r="615" ht="12.0"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row>
    <row r="616" ht="12.0"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row>
    <row r="617" ht="12.0"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row>
    <row r="618" ht="12.0"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row>
    <row r="619" ht="12.0"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row>
    <row r="620" ht="12.0"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row>
    <row r="621" ht="12.0"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row>
    <row r="622" ht="12.0"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row>
    <row r="623" ht="12.0"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row>
    <row r="624" ht="12.0"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row>
    <row r="625" ht="12.0"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row>
    <row r="626" ht="12.0"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row>
    <row r="627" ht="12.0"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row>
    <row r="628" ht="12.0"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row>
    <row r="629" ht="12.0"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row>
    <row r="630" ht="12.0"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row>
    <row r="631" ht="12.0"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row>
    <row r="632" ht="12.0"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row>
    <row r="633" ht="12.0"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row>
    <row r="634" ht="12.0"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row>
    <row r="635" ht="12.0"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row>
    <row r="636" ht="12.0"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row>
    <row r="637" ht="12.0"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row>
    <row r="638" ht="12.0"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row>
    <row r="639" ht="12.0"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row>
    <row r="640" ht="12.0"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row>
    <row r="641" ht="12.0"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row>
    <row r="642" ht="12.0"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row>
    <row r="643" ht="12.0"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row>
    <row r="644" ht="12.0"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row>
    <row r="645" ht="12.0"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row>
    <row r="646" ht="12.0"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row>
    <row r="647" ht="12.0"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row>
    <row r="648" ht="12.0"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row>
    <row r="649" ht="12.0"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row>
    <row r="650" ht="12.0"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row>
    <row r="651" ht="12.0"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row>
    <row r="652" ht="12.0"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row>
    <row r="653" ht="12.0"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row>
    <row r="654" ht="12.0"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row>
    <row r="655" ht="12.0"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row>
    <row r="656" ht="12.0"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row>
    <row r="657" ht="12.0"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row>
    <row r="658" ht="12.0"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row>
    <row r="659" ht="12.0"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row>
    <row r="660" ht="12.0"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row>
    <row r="661" ht="12.0"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row>
    <row r="662" ht="12.0"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row>
    <row r="663" ht="12.0"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row>
    <row r="664" ht="12.0"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row>
    <row r="665" ht="12.0"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row>
    <row r="666" ht="12.0"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row>
    <row r="667" ht="12.0"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row>
    <row r="668" ht="12.0"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row>
    <row r="669" ht="12.0"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row>
    <row r="670" ht="12.0"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row>
    <row r="671" ht="12.0"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row>
    <row r="672" ht="12.0"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row>
    <row r="673" ht="12.0"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row>
    <row r="674" ht="12.0"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row>
    <row r="675" ht="12.0"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row>
    <row r="676" ht="12.0"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row>
    <row r="677" ht="12.0"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row>
    <row r="678" ht="12.0"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row>
    <row r="679" ht="12.0"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row>
    <row r="680" ht="12.0"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row>
    <row r="681" ht="12.0"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row>
    <row r="682" ht="12.0"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row>
    <row r="683" ht="12.0"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row>
    <row r="684" ht="12.0"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row>
    <row r="685" ht="12.0"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row>
    <row r="686" ht="12.0"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row>
    <row r="687" ht="12.0"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row>
    <row r="688" ht="12.0"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row>
    <row r="689" ht="12.0"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row>
    <row r="690" ht="12.0"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row>
    <row r="691" ht="12.0"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row>
    <row r="692" ht="12.0"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row>
    <row r="693" ht="12.0"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row>
    <row r="694" ht="12.0"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row>
    <row r="695" ht="12.0"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row>
    <row r="696" ht="12.0"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row>
    <row r="697" ht="12.0"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row>
    <row r="698" ht="12.0"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row>
    <row r="699" ht="12.0"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row>
    <row r="700" ht="12.0"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row>
    <row r="701" ht="12.0"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row>
    <row r="702" ht="12.0"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row>
    <row r="703" ht="12.0"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row>
    <row r="704" ht="12.0"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row>
    <row r="705" ht="12.0"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row>
    <row r="706" ht="12.0"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row>
    <row r="707" ht="12.0"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row>
    <row r="708" ht="12.0"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row>
    <row r="709" ht="12.0"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row>
    <row r="710" ht="12.0"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row>
    <row r="711" ht="12.0"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row>
    <row r="712" ht="12.0"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row>
    <row r="713" ht="12.0"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row>
    <row r="714" ht="12.0"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row>
    <row r="715" ht="12.0"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row>
    <row r="716" ht="12.0"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row>
    <row r="717" ht="12.0"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row>
    <row r="718" ht="12.0"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row>
    <row r="719" ht="12.0"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row>
    <row r="720" ht="12.0"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row>
    <row r="721" ht="12.0"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row>
    <row r="722" ht="12.0"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row>
    <row r="723" ht="12.0"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row>
    <row r="724" ht="12.0"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row>
    <row r="725" ht="12.0"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row>
    <row r="726" ht="12.0"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row>
    <row r="727" ht="12.0"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row>
    <row r="728" ht="12.0"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row>
    <row r="729" ht="12.0"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row>
    <row r="730" ht="12.0"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row>
    <row r="731" ht="12.0"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row>
    <row r="732" ht="12.0"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row>
    <row r="733" ht="12.0"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row>
    <row r="734" ht="12.0"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row>
    <row r="735" ht="12.0"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row>
    <row r="736" ht="12.0"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row>
    <row r="737" ht="12.0"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row>
    <row r="738" ht="12.0"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row>
    <row r="739" ht="12.0"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row>
    <row r="740" ht="12.0"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row>
    <row r="741" ht="12.0"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row>
    <row r="742" ht="12.0"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row>
    <row r="743" ht="12.0"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row>
    <row r="744" ht="12.0"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row>
    <row r="745" ht="12.0"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row>
    <row r="746" ht="12.0"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row>
    <row r="747" ht="12.0"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row>
    <row r="748" ht="12.0"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row>
    <row r="749" ht="12.0"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row>
    <row r="750" ht="12.0"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row>
    <row r="751" ht="12.0"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row>
    <row r="752" ht="12.0"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row>
    <row r="753" ht="12.0"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row>
    <row r="754" ht="12.0"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row>
    <row r="755" ht="12.0"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c r="AN755" s="17"/>
      <c r="AO755" s="17"/>
      <c r="AP755" s="17"/>
      <c r="AQ755" s="17"/>
      <c r="AR755" s="17"/>
      <c r="AS755" s="17"/>
      <c r="AT755" s="17"/>
      <c r="AU755" s="17"/>
      <c r="AV755" s="17"/>
      <c r="AW755" s="17"/>
      <c r="AX755" s="17"/>
      <c r="AY755" s="17"/>
      <c r="AZ755" s="17"/>
      <c r="BA755" s="17"/>
      <c r="BB755" s="17"/>
      <c r="BC755" s="17"/>
      <c r="BD755" s="17"/>
      <c r="BE755" s="17"/>
      <c r="BF755" s="17"/>
      <c r="BG755" s="17"/>
      <c r="BH755" s="17"/>
      <c r="BI755" s="17"/>
      <c r="BJ755" s="17"/>
      <c r="BK755" s="17"/>
      <c r="BL755" s="17"/>
      <c r="BM755" s="17"/>
      <c r="BN755" s="17"/>
      <c r="BO755" s="17"/>
      <c r="BP755" s="17"/>
      <c r="BQ755" s="17"/>
      <c r="BR755" s="17"/>
      <c r="BS755" s="17"/>
      <c r="BT755" s="17"/>
    </row>
    <row r="756" ht="12.0"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c r="AN756" s="17"/>
      <c r="AO756" s="17"/>
      <c r="AP756" s="17"/>
      <c r="AQ756" s="17"/>
      <c r="AR756" s="17"/>
      <c r="AS756" s="17"/>
      <c r="AT756" s="17"/>
      <c r="AU756" s="17"/>
      <c r="AV756" s="17"/>
      <c r="AW756" s="17"/>
      <c r="AX756" s="17"/>
      <c r="AY756" s="17"/>
      <c r="AZ756" s="17"/>
      <c r="BA756" s="17"/>
      <c r="BB756" s="17"/>
      <c r="BC756" s="17"/>
      <c r="BD756" s="17"/>
      <c r="BE756" s="17"/>
      <c r="BF756" s="17"/>
      <c r="BG756" s="17"/>
      <c r="BH756" s="17"/>
      <c r="BI756" s="17"/>
      <c r="BJ756" s="17"/>
      <c r="BK756" s="17"/>
      <c r="BL756" s="17"/>
      <c r="BM756" s="17"/>
      <c r="BN756" s="17"/>
      <c r="BO756" s="17"/>
      <c r="BP756" s="17"/>
      <c r="BQ756" s="17"/>
      <c r="BR756" s="17"/>
      <c r="BS756" s="17"/>
      <c r="BT756" s="17"/>
    </row>
    <row r="757" ht="12.0"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c r="BH757" s="17"/>
      <c r="BI757" s="17"/>
      <c r="BJ757" s="17"/>
      <c r="BK757" s="17"/>
      <c r="BL757" s="17"/>
      <c r="BM757" s="17"/>
      <c r="BN757" s="17"/>
      <c r="BO757" s="17"/>
      <c r="BP757" s="17"/>
      <c r="BQ757" s="17"/>
      <c r="BR757" s="17"/>
      <c r="BS757" s="17"/>
      <c r="BT757" s="17"/>
    </row>
    <row r="758" ht="12.0"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c r="AN758" s="17"/>
      <c r="AO758" s="17"/>
      <c r="AP758" s="17"/>
      <c r="AQ758" s="17"/>
      <c r="AR758" s="17"/>
      <c r="AS758" s="17"/>
      <c r="AT758" s="17"/>
      <c r="AU758" s="17"/>
      <c r="AV758" s="17"/>
      <c r="AW758" s="17"/>
      <c r="AX758" s="17"/>
      <c r="AY758" s="17"/>
      <c r="AZ758" s="17"/>
      <c r="BA758" s="17"/>
      <c r="BB758" s="17"/>
      <c r="BC758" s="17"/>
      <c r="BD758" s="17"/>
      <c r="BE758" s="17"/>
      <c r="BF758" s="17"/>
      <c r="BG758" s="17"/>
      <c r="BH758" s="17"/>
      <c r="BI758" s="17"/>
      <c r="BJ758" s="17"/>
      <c r="BK758" s="17"/>
      <c r="BL758" s="17"/>
      <c r="BM758" s="17"/>
      <c r="BN758" s="17"/>
      <c r="BO758" s="17"/>
      <c r="BP758" s="17"/>
      <c r="BQ758" s="17"/>
      <c r="BR758" s="17"/>
      <c r="BS758" s="17"/>
      <c r="BT758" s="17"/>
    </row>
    <row r="759" ht="12.0"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c r="BP759" s="17"/>
      <c r="BQ759" s="17"/>
      <c r="BR759" s="17"/>
      <c r="BS759" s="17"/>
      <c r="BT759" s="17"/>
    </row>
    <row r="760" ht="12.0"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c r="AN760" s="17"/>
      <c r="AO760" s="17"/>
      <c r="AP760" s="17"/>
      <c r="AQ760" s="17"/>
      <c r="AR760" s="17"/>
      <c r="AS760" s="17"/>
      <c r="AT760" s="17"/>
      <c r="AU760" s="17"/>
      <c r="AV760" s="17"/>
      <c r="AW760" s="17"/>
      <c r="AX760" s="17"/>
      <c r="AY760" s="17"/>
      <c r="AZ760" s="17"/>
      <c r="BA760" s="17"/>
      <c r="BB760" s="17"/>
      <c r="BC760" s="17"/>
      <c r="BD760" s="17"/>
      <c r="BE760" s="17"/>
      <c r="BF760" s="17"/>
      <c r="BG760" s="17"/>
      <c r="BH760" s="17"/>
      <c r="BI760" s="17"/>
      <c r="BJ760" s="17"/>
      <c r="BK760" s="17"/>
      <c r="BL760" s="17"/>
      <c r="BM760" s="17"/>
      <c r="BN760" s="17"/>
      <c r="BO760" s="17"/>
      <c r="BP760" s="17"/>
      <c r="BQ760" s="17"/>
      <c r="BR760" s="17"/>
      <c r="BS760" s="17"/>
      <c r="BT760" s="17"/>
    </row>
    <row r="761" ht="12.0"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c r="BL761" s="17"/>
      <c r="BM761" s="17"/>
      <c r="BN761" s="17"/>
      <c r="BO761" s="17"/>
      <c r="BP761" s="17"/>
      <c r="BQ761" s="17"/>
      <c r="BR761" s="17"/>
      <c r="BS761" s="17"/>
      <c r="BT761" s="17"/>
    </row>
    <row r="762" ht="12.0"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row>
    <row r="763" ht="12.0"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row>
    <row r="764" ht="12.0"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row>
    <row r="765" ht="12.0"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row>
    <row r="766" ht="12.0"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row>
    <row r="767" ht="12.0"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row>
    <row r="768" ht="12.0"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row>
    <row r="769" ht="12.0"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row>
    <row r="770" ht="12.0"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row>
    <row r="771" ht="12.0"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row>
    <row r="772" ht="12.0"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row>
    <row r="773" ht="12.0"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row>
    <row r="774" ht="12.0"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row>
    <row r="775" ht="12.0"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row>
    <row r="776" ht="12.0"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c r="AN776" s="17"/>
      <c r="AO776" s="17"/>
      <c r="AP776" s="17"/>
      <c r="AQ776" s="17"/>
      <c r="AR776" s="17"/>
      <c r="AS776" s="17"/>
      <c r="AT776" s="17"/>
      <c r="AU776" s="17"/>
      <c r="AV776" s="17"/>
      <c r="AW776" s="17"/>
      <c r="AX776" s="17"/>
      <c r="AY776" s="17"/>
      <c r="AZ776" s="17"/>
      <c r="BA776" s="17"/>
      <c r="BB776" s="17"/>
      <c r="BC776" s="17"/>
      <c r="BD776" s="17"/>
      <c r="BE776" s="17"/>
      <c r="BF776" s="17"/>
      <c r="BG776" s="17"/>
      <c r="BH776" s="17"/>
      <c r="BI776" s="17"/>
      <c r="BJ776" s="17"/>
      <c r="BK776" s="17"/>
      <c r="BL776" s="17"/>
      <c r="BM776" s="17"/>
      <c r="BN776" s="17"/>
      <c r="BO776" s="17"/>
      <c r="BP776" s="17"/>
      <c r="BQ776" s="17"/>
      <c r="BR776" s="17"/>
      <c r="BS776" s="17"/>
      <c r="BT776" s="17"/>
    </row>
    <row r="777" ht="12.0"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c r="BL777" s="17"/>
      <c r="BM777" s="17"/>
      <c r="BN777" s="17"/>
      <c r="BO777" s="17"/>
      <c r="BP777" s="17"/>
      <c r="BQ777" s="17"/>
      <c r="BR777" s="17"/>
      <c r="BS777" s="17"/>
      <c r="BT777" s="17"/>
    </row>
    <row r="778" ht="12.0"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c r="AN778" s="17"/>
      <c r="AO778" s="17"/>
      <c r="AP778" s="17"/>
      <c r="AQ778" s="17"/>
      <c r="AR778" s="17"/>
      <c r="AS778" s="17"/>
      <c r="AT778" s="17"/>
      <c r="AU778" s="17"/>
      <c r="AV778" s="17"/>
      <c r="AW778" s="17"/>
      <c r="AX778" s="17"/>
      <c r="AY778" s="17"/>
      <c r="AZ778" s="17"/>
      <c r="BA778" s="17"/>
      <c r="BB778" s="17"/>
      <c r="BC778" s="17"/>
      <c r="BD778" s="17"/>
      <c r="BE778" s="17"/>
      <c r="BF778" s="17"/>
      <c r="BG778" s="17"/>
      <c r="BH778" s="17"/>
      <c r="BI778" s="17"/>
      <c r="BJ778" s="17"/>
      <c r="BK778" s="17"/>
      <c r="BL778" s="17"/>
      <c r="BM778" s="17"/>
      <c r="BN778" s="17"/>
      <c r="BO778" s="17"/>
      <c r="BP778" s="17"/>
      <c r="BQ778" s="17"/>
      <c r="BR778" s="17"/>
      <c r="BS778" s="17"/>
      <c r="BT778" s="17"/>
    </row>
    <row r="779" ht="12.0"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c r="BQ779" s="17"/>
      <c r="BR779" s="17"/>
      <c r="BS779" s="17"/>
      <c r="BT779" s="17"/>
    </row>
    <row r="780" ht="12.0"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c r="AN780" s="17"/>
      <c r="AO780" s="17"/>
      <c r="AP780" s="17"/>
      <c r="AQ780" s="17"/>
      <c r="AR780" s="17"/>
      <c r="AS780" s="17"/>
      <c r="AT780" s="17"/>
      <c r="AU780" s="17"/>
      <c r="AV780" s="17"/>
      <c r="AW780" s="17"/>
      <c r="AX780" s="17"/>
      <c r="AY780" s="17"/>
      <c r="AZ780" s="17"/>
      <c r="BA780" s="17"/>
      <c r="BB780" s="17"/>
      <c r="BC780" s="17"/>
      <c r="BD780" s="17"/>
      <c r="BE780" s="17"/>
      <c r="BF780" s="17"/>
      <c r="BG780" s="17"/>
      <c r="BH780" s="17"/>
      <c r="BI780" s="17"/>
      <c r="BJ780" s="17"/>
      <c r="BK780" s="17"/>
      <c r="BL780" s="17"/>
      <c r="BM780" s="17"/>
      <c r="BN780" s="17"/>
      <c r="BO780" s="17"/>
      <c r="BP780" s="17"/>
      <c r="BQ780" s="17"/>
      <c r="BR780" s="17"/>
      <c r="BS780" s="17"/>
      <c r="BT780" s="17"/>
    </row>
    <row r="781" ht="12.0"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c r="AN781" s="17"/>
      <c r="AO781" s="17"/>
      <c r="AP781" s="17"/>
      <c r="AQ781" s="17"/>
      <c r="AR781" s="17"/>
      <c r="AS781" s="17"/>
      <c r="AT781" s="17"/>
      <c r="AU781" s="17"/>
      <c r="AV781" s="17"/>
      <c r="AW781" s="17"/>
      <c r="AX781" s="17"/>
      <c r="AY781" s="17"/>
      <c r="AZ781" s="17"/>
      <c r="BA781" s="17"/>
      <c r="BB781" s="17"/>
      <c r="BC781" s="17"/>
      <c r="BD781" s="17"/>
      <c r="BE781" s="17"/>
      <c r="BF781" s="17"/>
      <c r="BG781" s="17"/>
      <c r="BH781" s="17"/>
      <c r="BI781" s="17"/>
      <c r="BJ781" s="17"/>
      <c r="BK781" s="17"/>
      <c r="BL781" s="17"/>
      <c r="BM781" s="17"/>
      <c r="BN781" s="17"/>
      <c r="BO781" s="17"/>
      <c r="BP781" s="17"/>
      <c r="BQ781" s="17"/>
      <c r="BR781" s="17"/>
      <c r="BS781" s="17"/>
      <c r="BT781" s="17"/>
    </row>
    <row r="782" ht="12.0"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c r="AN782" s="17"/>
      <c r="AO782" s="17"/>
      <c r="AP782" s="17"/>
      <c r="AQ782" s="17"/>
      <c r="AR782" s="17"/>
      <c r="AS782" s="17"/>
      <c r="AT782" s="17"/>
      <c r="AU782" s="17"/>
      <c r="AV782" s="17"/>
      <c r="AW782" s="17"/>
      <c r="AX782" s="17"/>
      <c r="AY782" s="17"/>
      <c r="AZ782" s="17"/>
      <c r="BA782" s="17"/>
      <c r="BB782" s="17"/>
      <c r="BC782" s="17"/>
      <c r="BD782" s="17"/>
      <c r="BE782" s="17"/>
      <c r="BF782" s="17"/>
      <c r="BG782" s="17"/>
      <c r="BH782" s="17"/>
      <c r="BI782" s="17"/>
      <c r="BJ782" s="17"/>
      <c r="BK782" s="17"/>
      <c r="BL782" s="17"/>
      <c r="BM782" s="17"/>
      <c r="BN782" s="17"/>
      <c r="BO782" s="17"/>
      <c r="BP782" s="17"/>
      <c r="BQ782" s="17"/>
      <c r="BR782" s="17"/>
      <c r="BS782" s="17"/>
      <c r="BT782" s="17"/>
    </row>
    <row r="783" ht="12.0"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c r="BR783" s="17"/>
      <c r="BS783" s="17"/>
      <c r="BT783" s="17"/>
    </row>
    <row r="784" ht="12.0"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c r="AN784" s="17"/>
      <c r="AO784" s="17"/>
      <c r="AP784" s="17"/>
      <c r="AQ784" s="17"/>
      <c r="AR784" s="17"/>
      <c r="AS784" s="17"/>
      <c r="AT784" s="17"/>
      <c r="AU784" s="17"/>
      <c r="AV784" s="17"/>
      <c r="AW784" s="17"/>
      <c r="AX784" s="17"/>
      <c r="AY784" s="17"/>
      <c r="AZ784" s="17"/>
      <c r="BA784" s="17"/>
      <c r="BB784" s="17"/>
      <c r="BC784" s="17"/>
      <c r="BD784" s="17"/>
      <c r="BE784" s="17"/>
      <c r="BF784" s="17"/>
      <c r="BG784" s="17"/>
      <c r="BH784" s="17"/>
      <c r="BI784" s="17"/>
      <c r="BJ784" s="17"/>
      <c r="BK784" s="17"/>
      <c r="BL784" s="17"/>
      <c r="BM784" s="17"/>
      <c r="BN784" s="17"/>
      <c r="BO784" s="17"/>
      <c r="BP784" s="17"/>
      <c r="BQ784" s="17"/>
      <c r="BR784" s="17"/>
      <c r="BS784" s="17"/>
      <c r="BT784" s="17"/>
    </row>
    <row r="785" ht="12.0"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c r="BR785" s="17"/>
      <c r="BS785" s="17"/>
      <c r="BT785" s="17"/>
    </row>
    <row r="786" ht="12.0"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c r="BE786" s="17"/>
      <c r="BF786" s="17"/>
      <c r="BG786" s="17"/>
      <c r="BH786" s="17"/>
      <c r="BI786" s="17"/>
      <c r="BJ786" s="17"/>
      <c r="BK786" s="17"/>
      <c r="BL786" s="17"/>
      <c r="BM786" s="17"/>
      <c r="BN786" s="17"/>
      <c r="BO786" s="17"/>
      <c r="BP786" s="17"/>
      <c r="BQ786" s="17"/>
      <c r="BR786" s="17"/>
      <c r="BS786" s="17"/>
      <c r="BT786" s="17"/>
    </row>
    <row r="787" ht="12.0"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c r="BI787" s="17"/>
      <c r="BJ787" s="17"/>
      <c r="BK787" s="17"/>
      <c r="BL787" s="17"/>
      <c r="BM787" s="17"/>
      <c r="BN787" s="17"/>
      <c r="BO787" s="17"/>
      <c r="BP787" s="17"/>
      <c r="BQ787" s="17"/>
      <c r="BR787" s="17"/>
      <c r="BS787" s="17"/>
      <c r="BT787" s="17"/>
    </row>
    <row r="788" ht="12.0"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c r="AO788" s="17"/>
      <c r="AP788" s="17"/>
      <c r="AQ788" s="17"/>
      <c r="AR788" s="17"/>
      <c r="AS788" s="17"/>
      <c r="AT788" s="17"/>
      <c r="AU788" s="17"/>
      <c r="AV788" s="17"/>
      <c r="AW788" s="17"/>
      <c r="AX788" s="17"/>
      <c r="AY788" s="17"/>
      <c r="AZ788" s="17"/>
      <c r="BA788" s="17"/>
      <c r="BB788" s="17"/>
      <c r="BC788" s="17"/>
      <c r="BD788" s="17"/>
      <c r="BE788" s="17"/>
      <c r="BF788" s="17"/>
      <c r="BG788" s="17"/>
      <c r="BH788" s="17"/>
      <c r="BI788" s="17"/>
      <c r="BJ788" s="17"/>
      <c r="BK788" s="17"/>
      <c r="BL788" s="17"/>
      <c r="BM788" s="17"/>
      <c r="BN788" s="17"/>
      <c r="BO788" s="17"/>
      <c r="BP788" s="17"/>
      <c r="BQ788" s="17"/>
      <c r="BR788" s="17"/>
      <c r="BS788" s="17"/>
      <c r="BT788" s="17"/>
    </row>
    <row r="789" ht="12.0"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c r="AO789" s="17"/>
      <c r="AP789" s="17"/>
      <c r="AQ789" s="17"/>
      <c r="AR789" s="17"/>
      <c r="AS789" s="17"/>
      <c r="AT789" s="17"/>
      <c r="AU789" s="17"/>
      <c r="AV789" s="17"/>
      <c r="AW789" s="17"/>
      <c r="AX789" s="17"/>
      <c r="AY789" s="17"/>
      <c r="AZ789" s="17"/>
      <c r="BA789" s="17"/>
      <c r="BB789" s="17"/>
      <c r="BC789" s="17"/>
      <c r="BD789" s="17"/>
      <c r="BE789" s="17"/>
      <c r="BF789" s="17"/>
      <c r="BG789" s="17"/>
      <c r="BH789" s="17"/>
      <c r="BI789" s="17"/>
      <c r="BJ789" s="17"/>
      <c r="BK789" s="17"/>
      <c r="BL789" s="17"/>
      <c r="BM789" s="17"/>
      <c r="BN789" s="17"/>
      <c r="BO789" s="17"/>
      <c r="BP789" s="17"/>
      <c r="BQ789" s="17"/>
      <c r="BR789" s="17"/>
      <c r="BS789" s="17"/>
      <c r="BT789" s="17"/>
    </row>
    <row r="790" ht="12.0"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c r="BL790" s="17"/>
      <c r="BM790" s="17"/>
      <c r="BN790" s="17"/>
      <c r="BO790" s="17"/>
      <c r="BP790" s="17"/>
      <c r="BQ790" s="17"/>
      <c r="BR790" s="17"/>
      <c r="BS790" s="17"/>
      <c r="BT790" s="17"/>
    </row>
    <row r="791" ht="12.0"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c r="BP791" s="17"/>
      <c r="BQ791" s="17"/>
      <c r="BR791" s="17"/>
      <c r="BS791" s="17"/>
      <c r="BT791" s="17"/>
    </row>
    <row r="792" ht="12.0"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c r="BL792" s="17"/>
      <c r="BM792" s="17"/>
      <c r="BN792" s="17"/>
      <c r="BO792" s="17"/>
      <c r="BP792" s="17"/>
      <c r="BQ792" s="17"/>
      <c r="BR792" s="17"/>
      <c r="BS792" s="17"/>
      <c r="BT792" s="17"/>
    </row>
    <row r="793" ht="12.0"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c r="AN793" s="17"/>
      <c r="AO793" s="17"/>
      <c r="AP793" s="17"/>
      <c r="AQ793" s="17"/>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c r="BP793" s="17"/>
      <c r="BQ793" s="17"/>
      <c r="BR793" s="17"/>
      <c r="BS793" s="17"/>
      <c r="BT793" s="17"/>
    </row>
    <row r="794" ht="12.0"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17"/>
      <c r="BI794" s="17"/>
      <c r="BJ794" s="17"/>
      <c r="BK794" s="17"/>
      <c r="BL794" s="17"/>
      <c r="BM794" s="17"/>
      <c r="BN794" s="17"/>
      <c r="BO794" s="17"/>
      <c r="BP794" s="17"/>
      <c r="BQ794" s="17"/>
      <c r="BR794" s="17"/>
      <c r="BS794" s="17"/>
      <c r="BT794" s="17"/>
    </row>
    <row r="795" ht="12.0"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c r="AN795" s="17"/>
      <c r="AO795" s="17"/>
      <c r="AP795" s="17"/>
      <c r="AQ795" s="17"/>
      <c r="AR795" s="17"/>
      <c r="AS795" s="17"/>
      <c r="AT795" s="17"/>
      <c r="AU795" s="17"/>
      <c r="AV795" s="17"/>
      <c r="AW795" s="17"/>
      <c r="AX795" s="17"/>
      <c r="AY795" s="17"/>
      <c r="AZ795" s="17"/>
      <c r="BA795" s="17"/>
      <c r="BB795" s="17"/>
      <c r="BC795" s="17"/>
      <c r="BD795" s="17"/>
      <c r="BE795" s="17"/>
      <c r="BF795" s="17"/>
      <c r="BG795" s="17"/>
      <c r="BH795" s="17"/>
      <c r="BI795" s="17"/>
      <c r="BJ795" s="17"/>
      <c r="BK795" s="17"/>
      <c r="BL795" s="17"/>
      <c r="BM795" s="17"/>
      <c r="BN795" s="17"/>
      <c r="BO795" s="17"/>
      <c r="BP795" s="17"/>
      <c r="BQ795" s="17"/>
      <c r="BR795" s="17"/>
      <c r="BS795" s="17"/>
      <c r="BT795" s="17"/>
    </row>
    <row r="796" ht="12.0"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c r="AN796" s="17"/>
      <c r="AO796" s="17"/>
      <c r="AP796" s="17"/>
      <c r="AQ796" s="17"/>
      <c r="AR796" s="17"/>
      <c r="AS796" s="17"/>
      <c r="AT796" s="17"/>
      <c r="AU796" s="17"/>
      <c r="AV796" s="17"/>
      <c r="AW796" s="17"/>
      <c r="AX796" s="17"/>
      <c r="AY796" s="17"/>
      <c r="AZ796" s="17"/>
      <c r="BA796" s="17"/>
      <c r="BB796" s="17"/>
      <c r="BC796" s="17"/>
      <c r="BD796" s="17"/>
      <c r="BE796" s="17"/>
      <c r="BF796" s="17"/>
      <c r="BG796" s="17"/>
      <c r="BH796" s="17"/>
      <c r="BI796" s="17"/>
      <c r="BJ796" s="17"/>
      <c r="BK796" s="17"/>
      <c r="BL796" s="17"/>
      <c r="BM796" s="17"/>
      <c r="BN796" s="17"/>
      <c r="BO796" s="17"/>
      <c r="BP796" s="17"/>
      <c r="BQ796" s="17"/>
      <c r="BR796" s="17"/>
      <c r="BS796" s="17"/>
      <c r="BT796" s="17"/>
    </row>
    <row r="797" ht="12.0"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c r="BP797" s="17"/>
      <c r="BQ797" s="17"/>
      <c r="BR797" s="17"/>
      <c r="BS797" s="17"/>
      <c r="BT797" s="17"/>
    </row>
    <row r="798" ht="12.0"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17"/>
      <c r="BI798" s="17"/>
      <c r="BJ798" s="17"/>
      <c r="BK798" s="17"/>
      <c r="BL798" s="17"/>
      <c r="BM798" s="17"/>
      <c r="BN798" s="17"/>
      <c r="BO798" s="17"/>
      <c r="BP798" s="17"/>
      <c r="BQ798" s="17"/>
      <c r="BR798" s="17"/>
      <c r="BS798" s="17"/>
      <c r="BT798" s="17"/>
    </row>
    <row r="799" ht="12.0"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c r="BP799" s="17"/>
      <c r="BQ799" s="17"/>
      <c r="BR799" s="17"/>
      <c r="BS799" s="17"/>
      <c r="BT799" s="17"/>
    </row>
    <row r="800" ht="12.0"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c r="AN800" s="17"/>
      <c r="AO800" s="17"/>
      <c r="AP800" s="17"/>
      <c r="AQ800" s="17"/>
      <c r="AR800" s="17"/>
      <c r="AS800" s="17"/>
      <c r="AT800" s="17"/>
      <c r="AU800" s="17"/>
      <c r="AV800" s="17"/>
      <c r="AW800" s="17"/>
      <c r="AX800" s="17"/>
      <c r="AY800" s="17"/>
      <c r="AZ800" s="17"/>
      <c r="BA800" s="17"/>
      <c r="BB800" s="17"/>
      <c r="BC800" s="17"/>
      <c r="BD800" s="17"/>
      <c r="BE800" s="17"/>
      <c r="BF800" s="17"/>
      <c r="BG800" s="17"/>
      <c r="BH800" s="17"/>
      <c r="BI800" s="17"/>
      <c r="BJ800" s="17"/>
      <c r="BK800" s="17"/>
      <c r="BL800" s="17"/>
      <c r="BM800" s="17"/>
      <c r="BN800" s="17"/>
      <c r="BO800" s="17"/>
      <c r="BP800" s="17"/>
      <c r="BQ800" s="17"/>
      <c r="BR800" s="17"/>
      <c r="BS800" s="17"/>
      <c r="BT800" s="17"/>
    </row>
    <row r="801" ht="12.0"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c r="BL801" s="17"/>
      <c r="BM801" s="17"/>
      <c r="BN801" s="17"/>
      <c r="BO801" s="17"/>
      <c r="BP801" s="17"/>
      <c r="BQ801" s="17"/>
      <c r="BR801" s="17"/>
      <c r="BS801" s="17"/>
      <c r="BT801" s="17"/>
    </row>
    <row r="802" ht="12.0"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c r="AO802" s="17"/>
      <c r="AP802" s="17"/>
      <c r="AQ802" s="17"/>
      <c r="AR802" s="17"/>
      <c r="AS802" s="17"/>
      <c r="AT802" s="17"/>
      <c r="AU802" s="17"/>
      <c r="AV802" s="17"/>
      <c r="AW802" s="17"/>
      <c r="AX802" s="17"/>
      <c r="AY802" s="17"/>
      <c r="AZ802" s="17"/>
      <c r="BA802" s="17"/>
      <c r="BB802" s="17"/>
      <c r="BC802" s="17"/>
      <c r="BD802" s="17"/>
      <c r="BE802" s="17"/>
      <c r="BF802" s="17"/>
      <c r="BG802" s="17"/>
      <c r="BH802" s="17"/>
      <c r="BI802" s="17"/>
      <c r="BJ802" s="17"/>
      <c r="BK802" s="17"/>
      <c r="BL802" s="17"/>
      <c r="BM802" s="17"/>
      <c r="BN802" s="17"/>
      <c r="BO802" s="17"/>
      <c r="BP802" s="17"/>
      <c r="BQ802" s="17"/>
      <c r="BR802" s="17"/>
      <c r="BS802" s="17"/>
      <c r="BT802" s="17"/>
    </row>
    <row r="803" ht="12.0"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c r="AO803" s="17"/>
      <c r="AP803" s="17"/>
      <c r="AQ803" s="17"/>
      <c r="AR803" s="17"/>
      <c r="AS803" s="17"/>
      <c r="AT803" s="17"/>
      <c r="AU803" s="17"/>
      <c r="AV803" s="17"/>
      <c r="AW803" s="17"/>
      <c r="AX803" s="17"/>
      <c r="AY803" s="17"/>
      <c r="AZ803" s="17"/>
      <c r="BA803" s="17"/>
      <c r="BB803" s="17"/>
      <c r="BC803" s="17"/>
      <c r="BD803" s="17"/>
      <c r="BE803" s="17"/>
      <c r="BF803" s="17"/>
      <c r="BG803" s="17"/>
      <c r="BH803" s="17"/>
      <c r="BI803" s="17"/>
      <c r="BJ803" s="17"/>
      <c r="BK803" s="17"/>
      <c r="BL803" s="17"/>
      <c r="BM803" s="17"/>
      <c r="BN803" s="17"/>
      <c r="BO803" s="17"/>
      <c r="BP803" s="17"/>
      <c r="BQ803" s="17"/>
      <c r="BR803" s="17"/>
      <c r="BS803" s="17"/>
      <c r="BT803" s="17"/>
    </row>
    <row r="804" ht="12.0"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c r="AN804" s="17"/>
      <c r="AO804" s="17"/>
      <c r="AP804" s="17"/>
      <c r="AQ804" s="17"/>
      <c r="AR804" s="17"/>
      <c r="AS804" s="17"/>
      <c r="AT804" s="17"/>
      <c r="AU804" s="17"/>
      <c r="AV804" s="17"/>
      <c r="AW804" s="17"/>
      <c r="AX804" s="17"/>
      <c r="AY804" s="17"/>
      <c r="AZ804" s="17"/>
      <c r="BA804" s="17"/>
      <c r="BB804" s="17"/>
      <c r="BC804" s="17"/>
      <c r="BD804" s="17"/>
      <c r="BE804" s="17"/>
      <c r="BF804" s="17"/>
      <c r="BG804" s="17"/>
      <c r="BH804" s="17"/>
      <c r="BI804" s="17"/>
      <c r="BJ804" s="17"/>
      <c r="BK804" s="17"/>
      <c r="BL804" s="17"/>
      <c r="BM804" s="17"/>
      <c r="BN804" s="17"/>
      <c r="BO804" s="17"/>
      <c r="BP804" s="17"/>
      <c r="BQ804" s="17"/>
      <c r="BR804" s="17"/>
      <c r="BS804" s="17"/>
      <c r="BT804" s="17"/>
    </row>
    <row r="805" ht="12.0"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c r="BR805" s="17"/>
      <c r="BS805" s="17"/>
      <c r="BT805" s="17"/>
    </row>
    <row r="806" ht="12.0"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17"/>
      <c r="BI806" s="17"/>
      <c r="BJ806" s="17"/>
      <c r="BK806" s="17"/>
      <c r="BL806" s="17"/>
      <c r="BM806" s="17"/>
      <c r="BN806" s="17"/>
      <c r="BO806" s="17"/>
      <c r="BP806" s="17"/>
      <c r="BQ806" s="17"/>
      <c r="BR806" s="17"/>
      <c r="BS806" s="17"/>
      <c r="BT806" s="17"/>
    </row>
    <row r="807" ht="12.0"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c r="AN807" s="17"/>
      <c r="AO807" s="17"/>
      <c r="AP807" s="17"/>
      <c r="AQ807" s="17"/>
      <c r="AR807" s="17"/>
      <c r="AS807" s="17"/>
      <c r="AT807" s="17"/>
      <c r="AU807" s="17"/>
      <c r="AV807" s="17"/>
      <c r="AW807" s="17"/>
      <c r="AX807" s="17"/>
      <c r="AY807" s="17"/>
      <c r="AZ807" s="17"/>
      <c r="BA807" s="17"/>
      <c r="BB807" s="17"/>
      <c r="BC807" s="17"/>
      <c r="BD807" s="17"/>
      <c r="BE807" s="17"/>
      <c r="BF807" s="17"/>
      <c r="BG807" s="17"/>
      <c r="BH807" s="17"/>
      <c r="BI807" s="17"/>
      <c r="BJ807" s="17"/>
      <c r="BK807" s="17"/>
      <c r="BL807" s="17"/>
      <c r="BM807" s="17"/>
      <c r="BN807" s="17"/>
      <c r="BO807" s="17"/>
      <c r="BP807" s="17"/>
      <c r="BQ807" s="17"/>
      <c r="BR807" s="17"/>
      <c r="BS807" s="17"/>
      <c r="BT807" s="17"/>
    </row>
    <row r="808" ht="12.0"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c r="AN808" s="17"/>
      <c r="AO808" s="17"/>
      <c r="AP808" s="17"/>
      <c r="AQ808" s="17"/>
      <c r="AR808" s="17"/>
      <c r="AS808" s="17"/>
      <c r="AT808" s="17"/>
      <c r="AU808" s="17"/>
      <c r="AV808" s="17"/>
      <c r="AW808" s="17"/>
      <c r="AX808" s="17"/>
      <c r="AY808" s="17"/>
      <c r="AZ808" s="17"/>
      <c r="BA808" s="17"/>
      <c r="BB808" s="17"/>
      <c r="BC808" s="17"/>
      <c r="BD808" s="17"/>
      <c r="BE808" s="17"/>
      <c r="BF808" s="17"/>
      <c r="BG808" s="17"/>
      <c r="BH808" s="17"/>
      <c r="BI808" s="17"/>
      <c r="BJ808" s="17"/>
      <c r="BK808" s="17"/>
      <c r="BL808" s="17"/>
      <c r="BM808" s="17"/>
      <c r="BN808" s="17"/>
      <c r="BO808" s="17"/>
      <c r="BP808" s="17"/>
      <c r="BQ808" s="17"/>
      <c r="BR808" s="17"/>
      <c r="BS808" s="17"/>
      <c r="BT808" s="17"/>
    </row>
    <row r="809" ht="12.0"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c r="AN809" s="17"/>
      <c r="AO809" s="17"/>
      <c r="AP809" s="17"/>
      <c r="AQ809" s="17"/>
      <c r="AR809" s="17"/>
      <c r="AS809" s="17"/>
      <c r="AT809" s="17"/>
      <c r="AU809" s="17"/>
      <c r="AV809" s="17"/>
      <c r="AW809" s="17"/>
      <c r="AX809" s="17"/>
      <c r="AY809" s="17"/>
      <c r="AZ809" s="17"/>
      <c r="BA809" s="17"/>
      <c r="BB809" s="17"/>
      <c r="BC809" s="17"/>
      <c r="BD809" s="17"/>
      <c r="BE809" s="17"/>
      <c r="BF809" s="17"/>
      <c r="BG809" s="17"/>
      <c r="BH809" s="17"/>
      <c r="BI809" s="17"/>
      <c r="BJ809" s="17"/>
      <c r="BK809" s="17"/>
      <c r="BL809" s="17"/>
      <c r="BM809" s="17"/>
      <c r="BN809" s="17"/>
      <c r="BO809" s="17"/>
      <c r="BP809" s="17"/>
      <c r="BQ809" s="17"/>
      <c r="BR809" s="17"/>
      <c r="BS809" s="17"/>
      <c r="BT809" s="17"/>
    </row>
    <row r="810" ht="12.0"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c r="AO810" s="17"/>
      <c r="AP810" s="17"/>
      <c r="AQ810" s="17"/>
      <c r="AR810" s="17"/>
      <c r="AS810" s="17"/>
      <c r="AT810" s="17"/>
      <c r="AU810" s="17"/>
      <c r="AV810" s="17"/>
      <c r="AW810" s="17"/>
      <c r="AX810" s="17"/>
      <c r="AY810" s="17"/>
      <c r="AZ810" s="17"/>
      <c r="BA810" s="17"/>
      <c r="BB810" s="17"/>
      <c r="BC810" s="17"/>
      <c r="BD810" s="17"/>
      <c r="BE810" s="17"/>
      <c r="BF810" s="17"/>
      <c r="BG810" s="17"/>
      <c r="BH810" s="17"/>
      <c r="BI810" s="17"/>
      <c r="BJ810" s="17"/>
      <c r="BK810" s="17"/>
      <c r="BL810" s="17"/>
      <c r="BM810" s="17"/>
      <c r="BN810" s="17"/>
      <c r="BO810" s="17"/>
      <c r="BP810" s="17"/>
      <c r="BQ810" s="17"/>
      <c r="BR810" s="17"/>
      <c r="BS810" s="17"/>
      <c r="BT810" s="17"/>
    </row>
    <row r="811" ht="12.0"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c r="AO811" s="17"/>
      <c r="AP811" s="17"/>
      <c r="AQ811" s="17"/>
      <c r="AR811" s="17"/>
      <c r="AS811" s="17"/>
      <c r="AT811" s="17"/>
      <c r="AU811" s="17"/>
      <c r="AV811" s="17"/>
      <c r="AW811" s="17"/>
      <c r="AX811" s="17"/>
      <c r="AY811" s="17"/>
      <c r="AZ811" s="17"/>
      <c r="BA811" s="17"/>
      <c r="BB811" s="17"/>
      <c r="BC811" s="17"/>
      <c r="BD811" s="17"/>
      <c r="BE811" s="17"/>
      <c r="BF811" s="17"/>
      <c r="BG811" s="17"/>
      <c r="BH811" s="17"/>
      <c r="BI811" s="17"/>
      <c r="BJ811" s="17"/>
      <c r="BK811" s="17"/>
      <c r="BL811" s="17"/>
      <c r="BM811" s="17"/>
      <c r="BN811" s="17"/>
      <c r="BO811" s="17"/>
      <c r="BP811" s="17"/>
      <c r="BQ811" s="17"/>
      <c r="BR811" s="17"/>
      <c r="BS811" s="17"/>
      <c r="BT811" s="17"/>
    </row>
    <row r="812" ht="12.0"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c r="AN812" s="17"/>
      <c r="AO812" s="17"/>
      <c r="AP812" s="17"/>
      <c r="AQ812" s="17"/>
      <c r="AR812" s="17"/>
      <c r="AS812" s="17"/>
      <c r="AT812" s="17"/>
      <c r="AU812" s="17"/>
      <c r="AV812" s="17"/>
      <c r="AW812" s="17"/>
      <c r="AX812" s="17"/>
      <c r="AY812" s="17"/>
      <c r="AZ812" s="17"/>
      <c r="BA812" s="17"/>
      <c r="BB812" s="17"/>
      <c r="BC812" s="17"/>
      <c r="BD812" s="17"/>
      <c r="BE812" s="17"/>
      <c r="BF812" s="17"/>
      <c r="BG812" s="17"/>
      <c r="BH812" s="17"/>
      <c r="BI812" s="17"/>
      <c r="BJ812" s="17"/>
      <c r="BK812" s="17"/>
      <c r="BL812" s="17"/>
      <c r="BM812" s="17"/>
      <c r="BN812" s="17"/>
      <c r="BO812" s="17"/>
      <c r="BP812" s="17"/>
      <c r="BQ812" s="17"/>
      <c r="BR812" s="17"/>
      <c r="BS812" s="17"/>
      <c r="BT812" s="17"/>
    </row>
    <row r="813" ht="12.0"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c r="AN813" s="17"/>
      <c r="AO813" s="17"/>
      <c r="AP813" s="17"/>
      <c r="AQ813" s="17"/>
      <c r="AR813" s="17"/>
      <c r="AS813" s="17"/>
      <c r="AT813" s="17"/>
      <c r="AU813" s="17"/>
      <c r="AV813" s="17"/>
      <c r="AW813" s="17"/>
      <c r="AX813" s="17"/>
      <c r="AY813" s="17"/>
      <c r="AZ813" s="17"/>
      <c r="BA813" s="17"/>
      <c r="BB813" s="17"/>
      <c r="BC813" s="17"/>
      <c r="BD813" s="17"/>
      <c r="BE813" s="17"/>
      <c r="BF813" s="17"/>
      <c r="BG813" s="17"/>
      <c r="BH813" s="17"/>
      <c r="BI813" s="17"/>
      <c r="BJ813" s="17"/>
      <c r="BK813" s="17"/>
      <c r="BL813" s="17"/>
      <c r="BM813" s="17"/>
      <c r="BN813" s="17"/>
      <c r="BO813" s="17"/>
      <c r="BP813" s="17"/>
      <c r="BQ813" s="17"/>
      <c r="BR813" s="17"/>
      <c r="BS813" s="17"/>
      <c r="BT813" s="17"/>
    </row>
    <row r="814" ht="12.0"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c r="AO814" s="17"/>
      <c r="AP814" s="17"/>
      <c r="AQ814" s="17"/>
      <c r="AR814" s="17"/>
      <c r="AS814" s="17"/>
      <c r="AT814" s="17"/>
      <c r="AU814" s="17"/>
      <c r="AV814" s="17"/>
      <c r="AW814" s="17"/>
      <c r="AX814" s="17"/>
      <c r="AY814" s="17"/>
      <c r="AZ814" s="17"/>
      <c r="BA814" s="17"/>
      <c r="BB814" s="17"/>
      <c r="BC814" s="17"/>
      <c r="BD814" s="17"/>
      <c r="BE814" s="17"/>
      <c r="BF814" s="17"/>
      <c r="BG814" s="17"/>
      <c r="BH814" s="17"/>
      <c r="BI814" s="17"/>
      <c r="BJ814" s="17"/>
      <c r="BK814" s="17"/>
      <c r="BL814" s="17"/>
      <c r="BM814" s="17"/>
      <c r="BN814" s="17"/>
      <c r="BO814" s="17"/>
      <c r="BP814" s="17"/>
      <c r="BQ814" s="17"/>
      <c r="BR814" s="17"/>
      <c r="BS814" s="17"/>
      <c r="BT814" s="17"/>
    </row>
    <row r="815" ht="12.0"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c r="AN815" s="17"/>
      <c r="AO815" s="17"/>
      <c r="AP815" s="17"/>
      <c r="AQ815" s="17"/>
      <c r="AR815" s="17"/>
      <c r="AS815" s="17"/>
      <c r="AT815" s="17"/>
      <c r="AU815" s="17"/>
      <c r="AV815" s="17"/>
      <c r="AW815" s="17"/>
      <c r="AX815" s="17"/>
      <c r="AY815" s="17"/>
      <c r="AZ815" s="17"/>
      <c r="BA815" s="17"/>
      <c r="BB815" s="17"/>
      <c r="BC815" s="17"/>
      <c r="BD815" s="17"/>
      <c r="BE815" s="17"/>
      <c r="BF815" s="17"/>
      <c r="BG815" s="17"/>
      <c r="BH815" s="17"/>
      <c r="BI815" s="17"/>
      <c r="BJ815" s="17"/>
      <c r="BK815" s="17"/>
      <c r="BL815" s="17"/>
      <c r="BM815" s="17"/>
      <c r="BN815" s="17"/>
      <c r="BO815" s="17"/>
      <c r="BP815" s="17"/>
      <c r="BQ815" s="17"/>
      <c r="BR815" s="17"/>
      <c r="BS815" s="17"/>
      <c r="BT815" s="17"/>
    </row>
    <row r="816" ht="12.0"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c r="AO816" s="17"/>
      <c r="AP816" s="17"/>
      <c r="AQ816" s="17"/>
      <c r="AR816" s="17"/>
      <c r="AS816" s="17"/>
      <c r="AT816" s="17"/>
      <c r="AU816" s="17"/>
      <c r="AV816" s="17"/>
      <c r="AW816" s="17"/>
      <c r="AX816" s="17"/>
      <c r="AY816" s="17"/>
      <c r="AZ816" s="17"/>
      <c r="BA816" s="17"/>
      <c r="BB816" s="17"/>
      <c r="BC816" s="17"/>
      <c r="BD816" s="17"/>
      <c r="BE816" s="17"/>
      <c r="BF816" s="17"/>
      <c r="BG816" s="17"/>
      <c r="BH816" s="17"/>
      <c r="BI816" s="17"/>
      <c r="BJ816" s="17"/>
      <c r="BK816" s="17"/>
      <c r="BL816" s="17"/>
      <c r="BM816" s="17"/>
      <c r="BN816" s="17"/>
      <c r="BO816" s="17"/>
      <c r="BP816" s="17"/>
      <c r="BQ816" s="17"/>
      <c r="BR816" s="17"/>
      <c r="BS816" s="17"/>
      <c r="BT816" s="17"/>
    </row>
    <row r="817" ht="12.0"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c r="AN817" s="17"/>
      <c r="AO817" s="17"/>
      <c r="AP817" s="17"/>
      <c r="AQ817" s="17"/>
      <c r="AR817" s="17"/>
      <c r="AS817" s="17"/>
      <c r="AT817" s="17"/>
      <c r="AU817" s="17"/>
      <c r="AV817" s="17"/>
      <c r="AW817" s="17"/>
      <c r="AX817" s="17"/>
      <c r="AY817" s="17"/>
      <c r="AZ817" s="17"/>
      <c r="BA817" s="17"/>
      <c r="BB817" s="17"/>
      <c r="BC817" s="17"/>
      <c r="BD817" s="17"/>
      <c r="BE817" s="17"/>
      <c r="BF817" s="17"/>
      <c r="BG817" s="17"/>
      <c r="BH817" s="17"/>
      <c r="BI817" s="17"/>
      <c r="BJ817" s="17"/>
      <c r="BK817" s="17"/>
      <c r="BL817" s="17"/>
      <c r="BM817" s="17"/>
      <c r="BN817" s="17"/>
      <c r="BO817" s="17"/>
      <c r="BP817" s="17"/>
      <c r="BQ817" s="17"/>
      <c r="BR817" s="17"/>
      <c r="BS817" s="17"/>
      <c r="BT817" s="17"/>
    </row>
    <row r="818" ht="12.0"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c r="AN818" s="17"/>
      <c r="AO818" s="17"/>
      <c r="AP818" s="17"/>
      <c r="AQ818" s="17"/>
      <c r="AR818" s="17"/>
      <c r="AS818" s="17"/>
      <c r="AT818" s="17"/>
      <c r="AU818" s="17"/>
      <c r="AV818" s="17"/>
      <c r="AW818" s="17"/>
      <c r="AX818" s="17"/>
      <c r="AY818" s="17"/>
      <c r="AZ818" s="17"/>
      <c r="BA818" s="17"/>
      <c r="BB818" s="17"/>
      <c r="BC818" s="17"/>
      <c r="BD818" s="17"/>
      <c r="BE818" s="17"/>
      <c r="BF818" s="17"/>
      <c r="BG818" s="17"/>
      <c r="BH818" s="17"/>
      <c r="BI818" s="17"/>
      <c r="BJ818" s="17"/>
      <c r="BK818" s="17"/>
      <c r="BL818" s="17"/>
      <c r="BM818" s="17"/>
      <c r="BN818" s="17"/>
      <c r="BO818" s="17"/>
      <c r="BP818" s="17"/>
      <c r="BQ818" s="17"/>
      <c r="BR818" s="17"/>
      <c r="BS818" s="17"/>
      <c r="BT818" s="17"/>
    </row>
    <row r="819" ht="12.0"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c r="AN819" s="17"/>
      <c r="AO819" s="17"/>
      <c r="AP819" s="17"/>
      <c r="AQ819" s="17"/>
      <c r="AR819" s="17"/>
      <c r="AS819" s="17"/>
      <c r="AT819" s="17"/>
      <c r="AU819" s="17"/>
      <c r="AV819" s="17"/>
      <c r="AW819" s="17"/>
      <c r="AX819" s="17"/>
      <c r="AY819" s="17"/>
      <c r="AZ819" s="17"/>
      <c r="BA819" s="17"/>
      <c r="BB819" s="17"/>
      <c r="BC819" s="17"/>
      <c r="BD819" s="17"/>
      <c r="BE819" s="17"/>
      <c r="BF819" s="17"/>
      <c r="BG819" s="17"/>
      <c r="BH819" s="17"/>
      <c r="BI819" s="17"/>
      <c r="BJ819" s="17"/>
      <c r="BK819" s="17"/>
      <c r="BL819" s="17"/>
      <c r="BM819" s="17"/>
      <c r="BN819" s="17"/>
      <c r="BO819" s="17"/>
      <c r="BP819" s="17"/>
      <c r="BQ819" s="17"/>
      <c r="BR819" s="17"/>
      <c r="BS819" s="17"/>
      <c r="BT819" s="17"/>
    </row>
    <row r="820" ht="12.0"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c r="AN820" s="17"/>
      <c r="AO820" s="17"/>
      <c r="AP820" s="17"/>
      <c r="AQ820" s="17"/>
      <c r="AR820" s="17"/>
      <c r="AS820" s="17"/>
      <c r="AT820" s="17"/>
      <c r="AU820" s="17"/>
      <c r="AV820" s="17"/>
      <c r="AW820" s="17"/>
      <c r="AX820" s="17"/>
      <c r="AY820" s="17"/>
      <c r="AZ820" s="17"/>
      <c r="BA820" s="17"/>
      <c r="BB820" s="17"/>
      <c r="BC820" s="17"/>
      <c r="BD820" s="17"/>
      <c r="BE820" s="17"/>
      <c r="BF820" s="17"/>
      <c r="BG820" s="17"/>
      <c r="BH820" s="17"/>
      <c r="BI820" s="17"/>
      <c r="BJ820" s="17"/>
      <c r="BK820" s="17"/>
      <c r="BL820" s="17"/>
      <c r="BM820" s="17"/>
      <c r="BN820" s="17"/>
      <c r="BO820" s="17"/>
      <c r="BP820" s="17"/>
      <c r="BQ820" s="17"/>
      <c r="BR820" s="17"/>
      <c r="BS820" s="17"/>
      <c r="BT820" s="17"/>
    </row>
    <row r="821" ht="12.0"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c r="AO821" s="17"/>
      <c r="AP821" s="17"/>
      <c r="AQ821" s="17"/>
      <c r="AR821" s="17"/>
      <c r="AS821" s="17"/>
      <c r="AT821" s="17"/>
      <c r="AU821" s="17"/>
      <c r="AV821" s="17"/>
      <c r="AW821" s="17"/>
      <c r="AX821" s="17"/>
      <c r="AY821" s="17"/>
      <c r="AZ821" s="17"/>
      <c r="BA821" s="17"/>
      <c r="BB821" s="17"/>
      <c r="BC821" s="17"/>
      <c r="BD821" s="17"/>
      <c r="BE821" s="17"/>
      <c r="BF821" s="17"/>
      <c r="BG821" s="17"/>
      <c r="BH821" s="17"/>
      <c r="BI821" s="17"/>
      <c r="BJ821" s="17"/>
      <c r="BK821" s="17"/>
      <c r="BL821" s="17"/>
      <c r="BM821" s="17"/>
      <c r="BN821" s="17"/>
      <c r="BO821" s="17"/>
      <c r="BP821" s="17"/>
      <c r="BQ821" s="17"/>
      <c r="BR821" s="17"/>
      <c r="BS821" s="17"/>
      <c r="BT821" s="17"/>
    </row>
    <row r="822" ht="12.0"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c r="AO822" s="17"/>
      <c r="AP822" s="17"/>
      <c r="AQ822" s="17"/>
      <c r="AR822" s="17"/>
      <c r="AS822" s="17"/>
      <c r="AT822" s="17"/>
      <c r="AU822" s="17"/>
      <c r="AV822" s="17"/>
      <c r="AW822" s="17"/>
      <c r="AX822" s="17"/>
      <c r="AY822" s="17"/>
      <c r="AZ822" s="17"/>
      <c r="BA822" s="17"/>
      <c r="BB822" s="17"/>
      <c r="BC822" s="17"/>
      <c r="BD822" s="17"/>
      <c r="BE822" s="17"/>
      <c r="BF822" s="17"/>
      <c r="BG822" s="17"/>
      <c r="BH822" s="17"/>
      <c r="BI822" s="17"/>
      <c r="BJ822" s="17"/>
      <c r="BK822" s="17"/>
      <c r="BL822" s="17"/>
      <c r="BM822" s="17"/>
      <c r="BN822" s="17"/>
      <c r="BO822" s="17"/>
      <c r="BP822" s="17"/>
      <c r="BQ822" s="17"/>
      <c r="BR822" s="17"/>
      <c r="BS822" s="17"/>
      <c r="BT822" s="17"/>
    </row>
    <row r="823" ht="12.0"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c r="AO823" s="17"/>
      <c r="AP823" s="17"/>
      <c r="AQ823" s="17"/>
      <c r="AR823" s="17"/>
      <c r="AS823" s="17"/>
      <c r="AT823" s="17"/>
      <c r="AU823" s="17"/>
      <c r="AV823" s="17"/>
      <c r="AW823" s="17"/>
      <c r="AX823" s="17"/>
      <c r="AY823" s="17"/>
      <c r="AZ823" s="17"/>
      <c r="BA823" s="17"/>
      <c r="BB823" s="17"/>
      <c r="BC823" s="17"/>
      <c r="BD823" s="17"/>
      <c r="BE823" s="17"/>
      <c r="BF823" s="17"/>
      <c r="BG823" s="17"/>
      <c r="BH823" s="17"/>
      <c r="BI823" s="17"/>
      <c r="BJ823" s="17"/>
      <c r="BK823" s="17"/>
      <c r="BL823" s="17"/>
      <c r="BM823" s="17"/>
      <c r="BN823" s="17"/>
      <c r="BO823" s="17"/>
      <c r="BP823" s="17"/>
      <c r="BQ823" s="17"/>
      <c r="BR823" s="17"/>
      <c r="BS823" s="17"/>
      <c r="BT823" s="17"/>
    </row>
    <row r="824" ht="12.0"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c r="AO824" s="17"/>
      <c r="AP824" s="17"/>
      <c r="AQ824" s="17"/>
      <c r="AR824" s="17"/>
      <c r="AS824" s="17"/>
      <c r="AT824" s="17"/>
      <c r="AU824" s="17"/>
      <c r="AV824" s="17"/>
      <c r="AW824" s="17"/>
      <c r="AX824" s="17"/>
      <c r="AY824" s="17"/>
      <c r="AZ824" s="17"/>
      <c r="BA824" s="17"/>
      <c r="BB824" s="17"/>
      <c r="BC824" s="17"/>
      <c r="BD824" s="17"/>
      <c r="BE824" s="17"/>
      <c r="BF824" s="17"/>
      <c r="BG824" s="17"/>
      <c r="BH824" s="17"/>
      <c r="BI824" s="17"/>
      <c r="BJ824" s="17"/>
      <c r="BK824" s="17"/>
      <c r="BL824" s="17"/>
      <c r="BM824" s="17"/>
      <c r="BN824" s="17"/>
      <c r="BO824" s="17"/>
      <c r="BP824" s="17"/>
      <c r="BQ824" s="17"/>
      <c r="BR824" s="17"/>
      <c r="BS824" s="17"/>
      <c r="BT824" s="17"/>
    </row>
    <row r="825" ht="12.0"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c r="AO825" s="17"/>
      <c r="AP825" s="17"/>
      <c r="AQ825" s="17"/>
      <c r="AR825" s="17"/>
      <c r="AS825" s="17"/>
      <c r="AT825" s="17"/>
      <c r="AU825" s="17"/>
      <c r="AV825" s="17"/>
      <c r="AW825" s="17"/>
      <c r="AX825" s="17"/>
      <c r="AY825" s="17"/>
      <c r="AZ825" s="17"/>
      <c r="BA825" s="17"/>
      <c r="BB825" s="17"/>
      <c r="BC825" s="17"/>
      <c r="BD825" s="17"/>
      <c r="BE825" s="17"/>
      <c r="BF825" s="17"/>
      <c r="BG825" s="17"/>
      <c r="BH825" s="17"/>
      <c r="BI825" s="17"/>
      <c r="BJ825" s="17"/>
      <c r="BK825" s="17"/>
      <c r="BL825" s="17"/>
      <c r="BM825" s="17"/>
      <c r="BN825" s="17"/>
      <c r="BO825" s="17"/>
      <c r="BP825" s="17"/>
      <c r="BQ825" s="17"/>
      <c r="BR825" s="17"/>
      <c r="BS825" s="17"/>
      <c r="BT825" s="17"/>
    </row>
    <row r="826" ht="12.0"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c r="AO826" s="17"/>
      <c r="AP826" s="17"/>
      <c r="AQ826" s="17"/>
      <c r="AR826" s="17"/>
      <c r="AS826" s="17"/>
      <c r="AT826" s="17"/>
      <c r="AU826" s="17"/>
      <c r="AV826" s="17"/>
      <c r="AW826" s="17"/>
      <c r="AX826" s="17"/>
      <c r="AY826" s="17"/>
      <c r="AZ826" s="17"/>
      <c r="BA826" s="17"/>
      <c r="BB826" s="17"/>
      <c r="BC826" s="17"/>
      <c r="BD826" s="17"/>
      <c r="BE826" s="17"/>
      <c r="BF826" s="17"/>
      <c r="BG826" s="17"/>
      <c r="BH826" s="17"/>
      <c r="BI826" s="17"/>
      <c r="BJ826" s="17"/>
      <c r="BK826" s="17"/>
      <c r="BL826" s="17"/>
      <c r="BM826" s="17"/>
      <c r="BN826" s="17"/>
      <c r="BO826" s="17"/>
      <c r="BP826" s="17"/>
      <c r="BQ826" s="17"/>
      <c r="BR826" s="17"/>
      <c r="BS826" s="17"/>
      <c r="BT826" s="17"/>
    </row>
    <row r="827" ht="12.0"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c r="AO827" s="17"/>
      <c r="AP827" s="17"/>
      <c r="AQ827" s="17"/>
      <c r="AR827" s="17"/>
      <c r="AS827" s="17"/>
      <c r="AT827" s="17"/>
      <c r="AU827" s="17"/>
      <c r="AV827" s="17"/>
      <c r="AW827" s="17"/>
      <c r="AX827" s="17"/>
      <c r="AY827" s="17"/>
      <c r="AZ827" s="17"/>
      <c r="BA827" s="17"/>
      <c r="BB827" s="17"/>
      <c r="BC827" s="17"/>
      <c r="BD827" s="17"/>
      <c r="BE827" s="17"/>
      <c r="BF827" s="17"/>
      <c r="BG827" s="17"/>
      <c r="BH827" s="17"/>
      <c r="BI827" s="17"/>
      <c r="BJ827" s="17"/>
      <c r="BK827" s="17"/>
      <c r="BL827" s="17"/>
      <c r="BM827" s="17"/>
      <c r="BN827" s="17"/>
      <c r="BO827" s="17"/>
      <c r="BP827" s="17"/>
      <c r="BQ827" s="17"/>
      <c r="BR827" s="17"/>
      <c r="BS827" s="17"/>
      <c r="BT827" s="17"/>
    </row>
    <row r="828" ht="12.0"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c r="BL828" s="17"/>
      <c r="BM828" s="17"/>
      <c r="BN828" s="17"/>
      <c r="BO828" s="17"/>
      <c r="BP828" s="17"/>
      <c r="BQ828" s="17"/>
      <c r="BR828" s="17"/>
      <c r="BS828" s="17"/>
      <c r="BT828" s="17"/>
    </row>
    <row r="829" ht="12.0"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c r="AP829" s="17"/>
      <c r="AQ829" s="17"/>
      <c r="AR829" s="17"/>
      <c r="AS829" s="17"/>
      <c r="AT829" s="17"/>
      <c r="AU829" s="17"/>
      <c r="AV829" s="17"/>
      <c r="AW829" s="17"/>
      <c r="AX829" s="17"/>
      <c r="AY829" s="17"/>
      <c r="AZ829" s="17"/>
      <c r="BA829" s="17"/>
      <c r="BB829" s="17"/>
      <c r="BC829" s="17"/>
      <c r="BD829" s="17"/>
      <c r="BE829" s="17"/>
      <c r="BF829" s="17"/>
      <c r="BG829" s="17"/>
      <c r="BH829" s="17"/>
      <c r="BI829" s="17"/>
      <c r="BJ829" s="17"/>
      <c r="BK829" s="17"/>
      <c r="BL829" s="17"/>
      <c r="BM829" s="17"/>
      <c r="BN829" s="17"/>
      <c r="BO829" s="17"/>
      <c r="BP829" s="17"/>
      <c r="BQ829" s="17"/>
      <c r="BR829" s="17"/>
      <c r="BS829" s="17"/>
      <c r="BT829" s="17"/>
    </row>
    <row r="830" ht="12.0"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c r="BL830" s="17"/>
      <c r="BM830" s="17"/>
      <c r="BN830" s="17"/>
      <c r="BO830" s="17"/>
      <c r="BP830" s="17"/>
      <c r="BQ830" s="17"/>
      <c r="BR830" s="17"/>
      <c r="BS830" s="17"/>
      <c r="BT830" s="17"/>
    </row>
    <row r="831" ht="12.0"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c r="AO831" s="17"/>
      <c r="AP831" s="17"/>
      <c r="AQ831" s="17"/>
      <c r="AR831" s="17"/>
      <c r="AS831" s="17"/>
      <c r="AT831" s="17"/>
      <c r="AU831" s="17"/>
      <c r="AV831" s="17"/>
      <c r="AW831" s="17"/>
      <c r="AX831" s="17"/>
      <c r="AY831" s="17"/>
      <c r="AZ831" s="17"/>
      <c r="BA831" s="17"/>
      <c r="BB831" s="17"/>
      <c r="BC831" s="17"/>
      <c r="BD831" s="17"/>
      <c r="BE831" s="17"/>
      <c r="BF831" s="17"/>
      <c r="BG831" s="17"/>
      <c r="BH831" s="17"/>
      <c r="BI831" s="17"/>
      <c r="BJ831" s="17"/>
      <c r="BK831" s="17"/>
      <c r="BL831" s="17"/>
      <c r="BM831" s="17"/>
      <c r="BN831" s="17"/>
      <c r="BO831" s="17"/>
      <c r="BP831" s="17"/>
      <c r="BQ831" s="17"/>
      <c r="BR831" s="17"/>
      <c r="BS831" s="17"/>
      <c r="BT831" s="17"/>
    </row>
    <row r="832" ht="12.0"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c r="AO832" s="17"/>
      <c r="AP832" s="17"/>
      <c r="AQ832" s="17"/>
      <c r="AR832" s="17"/>
      <c r="AS832" s="17"/>
      <c r="AT832" s="17"/>
      <c r="AU832" s="17"/>
      <c r="AV832" s="17"/>
      <c r="AW832" s="17"/>
      <c r="AX832" s="17"/>
      <c r="AY832" s="17"/>
      <c r="AZ832" s="17"/>
      <c r="BA832" s="17"/>
      <c r="BB832" s="17"/>
      <c r="BC832" s="17"/>
      <c r="BD832" s="17"/>
      <c r="BE832" s="17"/>
      <c r="BF832" s="17"/>
      <c r="BG832" s="17"/>
      <c r="BH832" s="17"/>
      <c r="BI832" s="17"/>
      <c r="BJ832" s="17"/>
      <c r="BK832" s="17"/>
      <c r="BL832" s="17"/>
      <c r="BM832" s="17"/>
      <c r="BN832" s="17"/>
      <c r="BO832" s="17"/>
      <c r="BP832" s="17"/>
      <c r="BQ832" s="17"/>
      <c r="BR832" s="17"/>
      <c r="BS832" s="17"/>
      <c r="BT832" s="17"/>
    </row>
    <row r="833" ht="12.0"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c r="AP833" s="17"/>
      <c r="AQ833" s="17"/>
      <c r="AR833" s="17"/>
      <c r="AS833" s="17"/>
      <c r="AT833" s="17"/>
      <c r="AU833" s="17"/>
      <c r="AV833" s="17"/>
      <c r="AW833" s="17"/>
      <c r="AX833" s="17"/>
      <c r="AY833" s="17"/>
      <c r="AZ833" s="17"/>
      <c r="BA833" s="17"/>
      <c r="BB833" s="17"/>
      <c r="BC833" s="17"/>
      <c r="BD833" s="17"/>
      <c r="BE833" s="17"/>
      <c r="BF833" s="17"/>
      <c r="BG833" s="17"/>
      <c r="BH833" s="17"/>
      <c r="BI833" s="17"/>
      <c r="BJ833" s="17"/>
      <c r="BK833" s="17"/>
      <c r="BL833" s="17"/>
      <c r="BM833" s="17"/>
      <c r="BN833" s="17"/>
      <c r="BO833" s="17"/>
      <c r="BP833" s="17"/>
      <c r="BQ833" s="17"/>
      <c r="BR833" s="17"/>
      <c r="BS833" s="17"/>
      <c r="BT833" s="17"/>
    </row>
    <row r="834" ht="12.0"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c r="BL834" s="17"/>
      <c r="BM834" s="17"/>
      <c r="BN834" s="17"/>
      <c r="BO834" s="17"/>
      <c r="BP834" s="17"/>
      <c r="BQ834" s="17"/>
      <c r="BR834" s="17"/>
      <c r="BS834" s="17"/>
      <c r="BT834" s="17"/>
    </row>
    <row r="835" ht="12.0"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c r="BR835" s="17"/>
      <c r="BS835" s="17"/>
      <c r="BT835" s="17"/>
    </row>
    <row r="836" ht="12.0"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c r="BL836" s="17"/>
      <c r="BM836" s="17"/>
      <c r="BN836" s="17"/>
      <c r="BO836" s="17"/>
      <c r="BP836" s="17"/>
      <c r="BQ836" s="17"/>
      <c r="BR836" s="17"/>
      <c r="BS836" s="17"/>
      <c r="BT836" s="17"/>
    </row>
    <row r="837" ht="12.0"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c r="AO837" s="17"/>
      <c r="AP837" s="17"/>
      <c r="AQ837" s="17"/>
      <c r="AR837" s="17"/>
      <c r="AS837" s="17"/>
      <c r="AT837" s="17"/>
      <c r="AU837" s="17"/>
      <c r="AV837" s="17"/>
      <c r="AW837" s="17"/>
      <c r="AX837" s="17"/>
      <c r="AY837" s="17"/>
      <c r="AZ837" s="17"/>
      <c r="BA837" s="17"/>
      <c r="BB837" s="17"/>
      <c r="BC837" s="17"/>
      <c r="BD837" s="17"/>
      <c r="BE837" s="17"/>
      <c r="BF837" s="17"/>
      <c r="BG837" s="17"/>
      <c r="BH837" s="17"/>
      <c r="BI837" s="17"/>
      <c r="BJ837" s="17"/>
      <c r="BK837" s="17"/>
      <c r="BL837" s="17"/>
      <c r="BM837" s="17"/>
      <c r="BN837" s="17"/>
      <c r="BO837" s="17"/>
      <c r="BP837" s="17"/>
      <c r="BQ837" s="17"/>
      <c r="BR837" s="17"/>
      <c r="BS837" s="17"/>
      <c r="BT837" s="17"/>
    </row>
    <row r="838" ht="12.0"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c r="AO838" s="17"/>
      <c r="AP838" s="17"/>
      <c r="AQ838" s="17"/>
      <c r="AR838" s="17"/>
      <c r="AS838" s="17"/>
      <c r="AT838" s="17"/>
      <c r="AU838" s="17"/>
      <c r="AV838" s="17"/>
      <c r="AW838" s="17"/>
      <c r="AX838" s="17"/>
      <c r="AY838" s="17"/>
      <c r="AZ838" s="17"/>
      <c r="BA838" s="17"/>
      <c r="BB838" s="17"/>
      <c r="BC838" s="17"/>
      <c r="BD838" s="17"/>
      <c r="BE838" s="17"/>
      <c r="BF838" s="17"/>
      <c r="BG838" s="17"/>
      <c r="BH838" s="17"/>
      <c r="BI838" s="17"/>
      <c r="BJ838" s="17"/>
      <c r="BK838" s="17"/>
      <c r="BL838" s="17"/>
      <c r="BM838" s="17"/>
      <c r="BN838" s="17"/>
      <c r="BO838" s="17"/>
      <c r="BP838" s="17"/>
      <c r="BQ838" s="17"/>
      <c r="BR838" s="17"/>
      <c r="BS838" s="17"/>
      <c r="BT838" s="17"/>
    </row>
    <row r="839" ht="12.0"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row>
    <row r="840" ht="12.0"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c r="AO840" s="17"/>
      <c r="AP840" s="17"/>
      <c r="AQ840" s="17"/>
      <c r="AR840" s="17"/>
      <c r="AS840" s="17"/>
      <c r="AT840" s="17"/>
      <c r="AU840" s="17"/>
      <c r="AV840" s="17"/>
      <c r="AW840" s="17"/>
      <c r="AX840" s="17"/>
      <c r="AY840" s="17"/>
      <c r="AZ840" s="17"/>
      <c r="BA840" s="17"/>
      <c r="BB840" s="17"/>
      <c r="BC840" s="17"/>
      <c r="BD840" s="17"/>
      <c r="BE840" s="17"/>
      <c r="BF840" s="17"/>
      <c r="BG840" s="17"/>
      <c r="BH840" s="17"/>
      <c r="BI840" s="17"/>
      <c r="BJ840" s="17"/>
      <c r="BK840" s="17"/>
      <c r="BL840" s="17"/>
      <c r="BM840" s="17"/>
      <c r="BN840" s="17"/>
      <c r="BO840" s="17"/>
      <c r="BP840" s="17"/>
      <c r="BQ840" s="17"/>
      <c r="BR840" s="17"/>
      <c r="BS840" s="17"/>
      <c r="BT840" s="17"/>
    </row>
    <row r="841" ht="12.0"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c r="AO841" s="17"/>
      <c r="AP841" s="17"/>
      <c r="AQ841" s="17"/>
      <c r="AR841" s="17"/>
      <c r="AS841" s="17"/>
      <c r="AT841" s="17"/>
      <c r="AU841" s="17"/>
      <c r="AV841" s="17"/>
      <c r="AW841" s="17"/>
      <c r="AX841" s="17"/>
      <c r="AY841" s="17"/>
      <c r="AZ841" s="17"/>
      <c r="BA841" s="17"/>
      <c r="BB841" s="17"/>
      <c r="BC841" s="17"/>
      <c r="BD841" s="17"/>
      <c r="BE841" s="17"/>
      <c r="BF841" s="17"/>
      <c r="BG841" s="17"/>
      <c r="BH841" s="17"/>
      <c r="BI841" s="17"/>
      <c r="BJ841" s="17"/>
      <c r="BK841" s="17"/>
      <c r="BL841" s="17"/>
      <c r="BM841" s="17"/>
      <c r="BN841" s="17"/>
      <c r="BO841" s="17"/>
      <c r="BP841" s="17"/>
      <c r="BQ841" s="17"/>
      <c r="BR841" s="17"/>
      <c r="BS841" s="17"/>
      <c r="BT841" s="17"/>
    </row>
    <row r="842" ht="12.0"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c r="AN842" s="17"/>
      <c r="AO842" s="17"/>
      <c r="AP842" s="17"/>
      <c r="AQ842" s="17"/>
      <c r="AR842" s="17"/>
      <c r="AS842" s="17"/>
      <c r="AT842" s="17"/>
      <c r="AU842" s="17"/>
      <c r="AV842" s="17"/>
      <c r="AW842" s="17"/>
      <c r="AX842" s="17"/>
      <c r="AY842" s="17"/>
      <c r="AZ842" s="17"/>
      <c r="BA842" s="17"/>
      <c r="BB842" s="17"/>
      <c r="BC842" s="17"/>
      <c r="BD842" s="17"/>
      <c r="BE842" s="17"/>
      <c r="BF842" s="17"/>
      <c r="BG842" s="17"/>
      <c r="BH842" s="17"/>
      <c r="BI842" s="17"/>
      <c r="BJ842" s="17"/>
      <c r="BK842" s="17"/>
      <c r="BL842" s="17"/>
      <c r="BM842" s="17"/>
      <c r="BN842" s="17"/>
      <c r="BO842" s="17"/>
      <c r="BP842" s="17"/>
      <c r="BQ842" s="17"/>
      <c r="BR842" s="17"/>
      <c r="BS842" s="17"/>
      <c r="BT842" s="17"/>
    </row>
    <row r="843" ht="12.0"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c r="AN843" s="17"/>
      <c r="AO843" s="17"/>
      <c r="AP843" s="17"/>
      <c r="AQ843" s="17"/>
      <c r="AR843" s="17"/>
      <c r="AS843" s="17"/>
      <c r="AT843" s="17"/>
      <c r="AU843" s="17"/>
      <c r="AV843" s="17"/>
      <c r="AW843" s="17"/>
      <c r="AX843" s="17"/>
      <c r="AY843" s="17"/>
      <c r="AZ843" s="17"/>
      <c r="BA843" s="17"/>
      <c r="BB843" s="17"/>
      <c r="BC843" s="17"/>
      <c r="BD843" s="17"/>
      <c r="BE843" s="17"/>
      <c r="BF843" s="17"/>
      <c r="BG843" s="17"/>
      <c r="BH843" s="17"/>
      <c r="BI843" s="17"/>
      <c r="BJ843" s="17"/>
      <c r="BK843" s="17"/>
      <c r="BL843" s="17"/>
      <c r="BM843" s="17"/>
      <c r="BN843" s="17"/>
      <c r="BO843" s="17"/>
      <c r="BP843" s="17"/>
      <c r="BQ843" s="17"/>
      <c r="BR843" s="17"/>
      <c r="BS843" s="17"/>
      <c r="BT843" s="17"/>
    </row>
    <row r="844" ht="12.0"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c r="AN844" s="17"/>
      <c r="AO844" s="17"/>
      <c r="AP844" s="17"/>
      <c r="AQ844" s="17"/>
      <c r="AR844" s="17"/>
      <c r="AS844" s="17"/>
      <c r="AT844" s="17"/>
      <c r="AU844" s="17"/>
      <c r="AV844" s="17"/>
      <c r="AW844" s="17"/>
      <c r="AX844" s="17"/>
      <c r="AY844" s="17"/>
      <c r="AZ844" s="17"/>
      <c r="BA844" s="17"/>
      <c r="BB844" s="17"/>
      <c r="BC844" s="17"/>
      <c r="BD844" s="17"/>
      <c r="BE844" s="17"/>
      <c r="BF844" s="17"/>
      <c r="BG844" s="17"/>
      <c r="BH844" s="17"/>
      <c r="BI844" s="17"/>
      <c r="BJ844" s="17"/>
      <c r="BK844" s="17"/>
      <c r="BL844" s="17"/>
      <c r="BM844" s="17"/>
      <c r="BN844" s="17"/>
      <c r="BO844" s="17"/>
      <c r="BP844" s="17"/>
      <c r="BQ844" s="17"/>
      <c r="BR844" s="17"/>
      <c r="BS844" s="17"/>
      <c r="BT844" s="17"/>
    </row>
    <row r="845" ht="12.0"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c r="AN845" s="17"/>
      <c r="AO845" s="17"/>
      <c r="AP845" s="17"/>
      <c r="AQ845" s="17"/>
      <c r="AR845" s="17"/>
      <c r="AS845" s="17"/>
      <c r="AT845" s="17"/>
      <c r="AU845" s="17"/>
      <c r="AV845" s="17"/>
      <c r="AW845" s="17"/>
      <c r="AX845" s="17"/>
      <c r="AY845" s="17"/>
      <c r="AZ845" s="17"/>
      <c r="BA845" s="17"/>
      <c r="BB845" s="17"/>
      <c r="BC845" s="17"/>
      <c r="BD845" s="17"/>
      <c r="BE845" s="17"/>
      <c r="BF845" s="17"/>
      <c r="BG845" s="17"/>
      <c r="BH845" s="17"/>
      <c r="BI845" s="17"/>
      <c r="BJ845" s="17"/>
      <c r="BK845" s="17"/>
      <c r="BL845" s="17"/>
      <c r="BM845" s="17"/>
      <c r="BN845" s="17"/>
      <c r="BO845" s="17"/>
      <c r="BP845" s="17"/>
      <c r="BQ845" s="17"/>
      <c r="BR845" s="17"/>
      <c r="BS845" s="17"/>
      <c r="BT845" s="17"/>
    </row>
    <row r="846" ht="12.0"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c r="AO846" s="17"/>
      <c r="AP846" s="17"/>
      <c r="AQ846" s="17"/>
      <c r="AR846" s="17"/>
      <c r="AS846" s="17"/>
      <c r="AT846" s="17"/>
      <c r="AU846" s="17"/>
      <c r="AV846" s="17"/>
      <c r="AW846" s="17"/>
      <c r="AX846" s="17"/>
      <c r="AY846" s="17"/>
      <c r="AZ846" s="17"/>
      <c r="BA846" s="17"/>
      <c r="BB846" s="17"/>
      <c r="BC846" s="17"/>
      <c r="BD846" s="17"/>
      <c r="BE846" s="17"/>
      <c r="BF846" s="17"/>
      <c r="BG846" s="17"/>
      <c r="BH846" s="17"/>
      <c r="BI846" s="17"/>
      <c r="BJ846" s="17"/>
      <c r="BK846" s="17"/>
      <c r="BL846" s="17"/>
      <c r="BM846" s="17"/>
      <c r="BN846" s="17"/>
      <c r="BO846" s="17"/>
      <c r="BP846" s="17"/>
      <c r="BQ846" s="17"/>
      <c r="BR846" s="17"/>
      <c r="BS846" s="17"/>
      <c r="BT846" s="17"/>
    </row>
    <row r="847" ht="12.0"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c r="AN847" s="17"/>
      <c r="AO847" s="17"/>
      <c r="AP847" s="17"/>
      <c r="AQ847" s="17"/>
      <c r="AR847" s="17"/>
      <c r="AS847" s="17"/>
      <c r="AT847" s="17"/>
      <c r="AU847" s="17"/>
      <c r="AV847" s="17"/>
      <c r="AW847" s="17"/>
      <c r="AX847" s="17"/>
      <c r="AY847" s="17"/>
      <c r="AZ847" s="17"/>
      <c r="BA847" s="17"/>
      <c r="BB847" s="17"/>
      <c r="BC847" s="17"/>
      <c r="BD847" s="17"/>
      <c r="BE847" s="17"/>
      <c r="BF847" s="17"/>
      <c r="BG847" s="17"/>
      <c r="BH847" s="17"/>
      <c r="BI847" s="17"/>
      <c r="BJ847" s="17"/>
      <c r="BK847" s="17"/>
      <c r="BL847" s="17"/>
      <c r="BM847" s="17"/>
      <c r="BN847" s="17"/>
      <c r="BO847" s="17"/>
      <c r="BP847" s="17"/>
      <c r="BQ847" s="17"/>
      <c r="BR847" s="17"/>
      <c r="BS847" s="17"/>
      <c r="BT847" s="17"/>
    </row>
    <row r="848" ht="12.0"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c r="AO848" s="17"/>
      <c r="AP848" s="17"/>
      <c r="AQ848" s="17"/>
      <c r="AR848" s="17"/>
      <c r="AS848" s="17"/>
      <c r="AT848" s="17"/>
      <c r="AU848" s="17"/>
      <c r="AV848" s="17"/>
      <c r="AW848" s="17"/>
      <c r="AX848" s="17"/>
      <c r="AY848" s="17"/>
      <c r="AZ848" s="17"/>
      <c r="BA848" s="17"/>
      <c r="BB848" s="17"/>
      <c r="BC848" s="17"/>
      <c r="BD848" s="17"/>
      <c r="BE848" s="17"/>
      <c r="BF848" s="17"/>
      <c r="BG848" s="17"/>
      <c r="BH848" s="17"/>
      <c r="BI848" s="17"/>
      <c r="BJ848" s="17"/>
      <c r="BK848" s="17"/>
      <c r="BL848" s="17"/>
      <c r="BM848" s="17"/>
      <c r="BN848" s="17"/>
      <c r="BO848" s="17"/>
      <c r="BP848" s="17"/>
      <c r="BQ848" s="17"/>
      <c r="BR848" s="17"/>
      <c r="BS848" s="17"/>
      <c r="BT848" s="17"/>
    </row>
    <row r="849" ht="12.0"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c r="AN849" s="17"/>
      <c r="AO849" s="17"/>
      <c r="AP849" s="17"/>
      <c r="AQ849" s="17"/>
      <c r="AR849" s="17"/>
      <c r="AS849" s="17"/>
      <c r="AT849" s="17"/>
      <c r="AU849" s="17"/>
      <c r="AV849" s="17"/>
      <c r="AW849" s="17"/>
      <c r="AX849" s="17"/>
      <c r="AY849" s="17"/>
      <c r="AZ849" s="17"/>
      <c r="BA849" s="17"/>
      <c r="BB849" s="17"/>
      <c r="BC849" s="17"/>
      <c r="BD849" s="17"/>
      <c r="BE849" s="17"/>
      <c r="BF849" s="17"/>
      <c r="BG849" s="17"/>
      <c r="BH849" s="17"/>
      <c r="BI849" s="17"/>
      <c r="BJ849" s="17"/>
      <c r="BK849" s="17"/>
      <c r="BL849" s="17"/>
      <c r="BM849" s="17"/>
      <c r="BN849" s="17"/>
      <c r="BO849" s="17"/>
      <c r="BP849" s="17"/>
      <c r="BQ849" s="17"/>
      <c r="BR849" s="17"/>
      <c r="BS849" s="17"/>
      <c r="BT849" s="17"/>
    </row>
    <row r="850" ht="12.0"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c r="AN850" s="17"/>
      <c r="AO850" s="17"/>
      <c r="AP850" s="17"/>
      <c r="AQ850" s="17"/>
      <c r="AR850" s="17"/>
      <c r="AS850" s="17"/>
      <c r="AT850" s="17"/>
      <c r="AU850" s="17"/>
      <c r="AV850" s="17"/>
      <c r="AW850" s="17"/>
      <c r="AX850" s="17"/>
      <c r="AY850" s="17"/>
      <c r="AZ850" s="17"/>
      <c r="BA850" s="17"/>
      <c r="BB850" s="17"/>
      <c r="BC850" s="17"/>
      <c r="BD850" s="17"/>
      <c r="BE850" s="17"/>
      <c r="BF850" s="17"/>
      <c r="BG850" s="17"/>
      <c r="BH850" s="17"/>
      <c r="BI850" s="17"/>
      <c r="BJ850" s="17"/>
      <c r="BK850" s="17"/>
      <c r="BL850" s="17"/>
      <c r="BM850" s="17"/>
      <c r="BN850" s="17"/>
      <c r="BO850" s="17"/>
      <c r="BP850" s="17"/>
      <c r="BQ850" s="17"/>
      <c r="BR850" s="17"/>
      <c r="BS850" s="17"/>
      <c r="BT850" s="17"/>
    </row>
    <row r="851" ht="12.0"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c r="AN851" s="17"/>
      <c r="AO851" s="17"/>
      <c r="AP851" s="17"/>
      <c r="AQ851" s="17"/>
      <c r="AR851" s="17"/>
      <c r="AS851" s="17"/>
      <c r="AT851" s="17"/>
      <c r="AU851" s="17"/>
      <c r="AV851" s="17"/>
      <c r="AW851" s="17"/>
      <c r="AX851" s="17"/>
      <c r="AY851" s="17"/>
      <c r="AZ851" s="17"/>
      <c r="BA851" s="17"/>
      <c r="BB851" s="17"/>
      <c r="BC851" s="17"/>
      <c r="BD851" s="17"/>
      <c r="BE851" s="17"/>
      <c r="BF851" s="17"/>
      <c r="BG851" s="17"/>
      <c r="BH851" s="17"/>
      <c r="BI851" s="17"/>
      <c r="BJ851" s="17"/>
      <c r="BK851" s="17"/>
      <c r="BL851" s="17"/>
      <c r="BM851" s="17"/>
      <c r="BN851" s="17"/>
      <c r="BO851" s="17"/>
      <c r="BP851" s="17"/>
      <c r="BQ851" s="17"/>
      <c r="BR851" s="17"/>
      <c r="BS851" s="17"/>
      <c r="BT851" s="17"/>
    </row>
    <row r="852" ht="12.0"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c r="AN852" s="17"/>
      <c r="AO852" s="17"/>
      <c r="AP852" s="17"/>
      <c r="AQ852" s="17"/>
      <c r="AR852" s="17"/>
      <c r="AS852" s="17"/>
      <c r="AT852" s="17"/>
      <c r="AU852" s="17"/>
      <c r="AV852" s="17"/>
      <c r="AW852" s="17"/>
      <c r="AX852" s="17"/>
      <c r="AY852" s="17"/>
      <c r="AZ852" s="17"/>
      <c r="BA852" s="17"/>
      <c r="BB852" s="17"/>
      <c r="BC852" s="17"/>
      <c r="BD852" s="17"/>
      <c r="BE852" s="17"/>
      <c r="BF852" s="17"/>
      <c r="BG852" s="17"/>
      <c r="BH852" s="17"/>
      <c r="BI852" s="17"/>
      <c r="BJ852" s="17"/>
      <c r="BK852" s="17"/>
      <c r="BL852" s="17"/>
      <c r="BM852" s="17"/>
      <c r="BN852" s="17"/>
      <c r="BO852" s="17"/>
      <c r="BP852" s="17"/>
      <c r="BQ852" s="17"/>
      <c r="BR852" s="17"/>
      <c r="BS852" s="17"/>
      <c r="BT852" s="17"/>
    </row>
    <row r="853" ht="12.0"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c r="AO853" s="17"/>
      <c r="AP853" s="17"/>
      <c r="AQ853" s="17"/>
      <c r="AR853" s="17"/>
      <c r="AS853" s="17"/>
      <c r="AT853" s="17"/>
      <c r="AU853" s="17"/>
      <c r="AV853" s="17"/>
      <c r="AW853" s="17"/>
      <c r="AX853" s="17"/>
      <c r="AY853" s="17"/>
      <c r="AZ853" s="17"/>
      <c r="BA853" s="17"/>
      <c r="BB853" s="17"/>
      <c r="BC853" s="17"/>
      <c r="BD853" s="17"/>
      <c r="BE853" s="17"/>
      <c r="BF853" s="17"/>
      <c r="BG853" s="17"/>
      <c r="BH853" s="17"/>
      <c r="BI853" s="17"/>
      <c r="BJ853" s="17"/>
      <c r="BK853" s="17"/>
      <c r="BL853" s="17"/>
      <c r="BM853" s="17"/>
      <c r="BN853" s="17"/>
      <c r="BO853" s="17"/>
      <c r="BP853" s="17"/>
      <c r="BQ853" s="17"/>
      <c r="BR853" s="17"/>
      <c r="BS853" s="17"/>
      <c r="BT853" s="17"/>
    </row>
    <row r="854" ht="12.0"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c r="AO854" s="17"/>
      <c r="AP854" s="17"/>
      <c r="AQ854" s="17"/>
      <c r="AR854" s="17"/>
      <c r="AS854" s="17"/>
      <c r="AT854" s="17"/>
      <c r="AU854" s="17"/>
      <c r="AV854" s="17"/>
      <c r="AW854" s="17"/>
      <c r="AX854" s="17"/>
      <c r="AY854" s="17"/>
      <c r="AZ854" s="17"/>
      <c r="BA854" s="17"/>
      <c r="BB854" s="17"/>
      <c r="BC854" s="17"/>
      <c r="BD854" s="17"/>
      <c r="BE854" s="17"/>
      <c r="BF854" s="17"/>
      <c r="BG854" s="17"/>
      <c r="BH854" s="17"/>
      <c r="BI854" s="17"/>
      <c r="BJ854" s="17"/>
      <c r="BK854" s="17"/>
      <c r="BL854" s="17"/>
      <c r="BM854" s="17"/>
      <c r="BN854" s="17"/>
      <c r="BO854" s="17"/>
      <c r="BP854" s="17"/>
      <c r="BQ854" s="17"/>
      <c r="BR854" s="17"/>
      <c r="BS854" s="17"/>
      <c r="BT854" s="17"/>
    </row>
    <row r="855" ht="12.0"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c r="BL855" s="17"/>
      <c r="BM855" s="17"/>
      <c r="BN855" s="17"/>
      <c r="BO855" s="17"/>
      <c r="BP855" s="17"/>
      <c r="BQ855" s="17"/>
      <c r="BR855" s="17"/>
      <c r="BS855" s="17"/>
      <c r="BT855" s="17"/>
    </row>
    <row r="856" ht="12.0"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c r="AO856" s="17"/>
      <c r="AP856" s="17"/>
      <c r="AQ856" s="17"/>
      <c r="AR856" s="17"/>
      <c r="AS856" s="17"/>
      <c r="AT856" s="17"/>
      <c r="AU856" s="17"/>
      <c r="AV856" s="17"/>
      <c r="AW856" s="17"/>
      <c r="AX856" s="17"/>
      <c r="AY856" s="17"/>
      <c r="AZ856" s="17"/>
      <c r="BA856" s="17"/>
      <c r="BB856" s="17"/>
      <c r="BC856" s="17"/>
      <c r="BD856" s="17"/>
      <c r="BE856" s="17"/>
      <c r="BF856" s="17"/>
      <c r="BG856" s="17"/>
      <c r="BH856" s="17"/>
      <c r="BI856" s="17"/>
      <c r="BJ856" s="17"/>
      <c r="BK856" s="17"/>
      <c r="BL856" s="17"/>
      <c r="BM856" s="17"/>
      <c r="BN856" s="17"/>
      <c r="BO856" s="17"/>
      <c r="BP856" s="17"/>
      <c r="BQ856" s="17"/>
      <c r="BR856" s="17"/>
      <c r="BS856" s="17"/>
      <c r="BT856" s="17"/>
    </row>
    <row r="857" ht="12.0"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c r="BL857" s="17"/>
      <c r="BM857" s="17"/>
      <c r="BN857" s="17"/>
      <c r="BO857" s="17"/>
      <c r="BP857" s="17"/>
      <c r="BQ857" s="17"/>
      <c r="BR857" s="17"/>
      <c r="BS857" s="17"/>
      <c r="BT857" s="17"/>
    </row>
    <row r="858" ht="12.0"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c r="BH858" s="17"/>
      <c r="BI858" s="17"/>
      <c r="BJ858" s="17"/>
      <c r="BK858" s="17"/>
      <c r="BL858" s="17"/>
      <c r="BM858" s="17"/>
      <c r="BN858" s="17"/>
      <c r="BO858" s="17"/>
      <c r="BP858" s="17"/>
      <c r="BQ858" s="17"/>
      <c r="BR858" s="17"/>
      <c r="BS858" s="17"/>
      <c r="BT858" s="17"/>
    </row>
    <row r="859" ht="12.0"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c r="AN859" s="17"/>
      <c r="AO859" s="17"/>
      <c r="AP859" s="17"/>
      <c r="AQ859" s="17"/>
      <c r="AR859" s="17"/>
      <c r="AS859" s="17"/>
      <c r="AT859" s="17"/>
      <c r="AU859" s="17"/>
      <c r="AV859" s="17"/>
      <c r="AW859" s="17"/>
      <c r="AX859" s="17"/>
      <c r="AY859" s="17"/>
      <c r="AZ859" s="17"/>
      <c r="BA859" s="17"/>
      <c r="BB859" s="17"/>
      <c r="BC859" s="17"/>
      <c r="BD859" s="17"/>
      <c r="BE859" s="17"/>
      <c r="BF859" s="17"/>
      <c r="BG859" s="17"/>
      <c r="BH859" s="17"/>
      <c r="BI859" s="17"/>
      <c r="BJ859" s="17"/>
      <c r="BK859" s="17"/>
      <c r="BL859" s="17"/>
      <c r="BM859" s="17"/>
      <c r="BN859" s="17"/>
      <c r="BO859" s="17"/>
      <c r="BP859" s="17"/>
      <c r="BQ859" s="17"/>
      <c r="BR859" s="17"/>
      <c r="BS859" s="17"/>
      <c r="BT859" s="17"/>
    </row>
    <row r="860" ht="12.0"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c r="AN860" s="17"/>
      <c r="AO860" s="17"/>
      <c r="AP860" s="17"/>
      <c r="AQ860" s="17"/>
      <c r="AR860" s="17"/>
      <c r="AS860" s="17"/>
      <c r="AT860" s="17"/>
      <c r="AU860" s="17"/>
      <c r="AV860" s="17"/>
      <c r="AW860" s="17"/>
      <c r="AX860" s="17"/>
      <c r="AY860" s="17"/>
      <c r="AZ860" s="17"/>
      <c r="BA860" s="17"/>
      <c r="BB860" s="17"/>
      <c r="BC860" s="17"/>
      <c r="BD860" s="17"/>
      <c r="BE860" s="17"/>
      <c r="BF860" s="17"/>
      <c r="BG860" s="17"/>
      <c r="BH860" s="17"/>
      <c r="BI860" s="17"/>
      <c r="BJ860" s="17"/>
      <c r="BK860" s="17"/>
      <c r="BL860" s="17"/>
      <c r="BM860" s="17"/>
      <c r="BN860" s="17"/>
      <c r="BO860" s="17"/>
      <c r="BP860" s="17"/>
      <c r="BQ860" s="17"/>
      <c r="BR860" s="17"/>
      <c r="BS860" s="17"/>
      <c r="BT860" s="17"/>
    </row>
    <row r="861" ht="12.0"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c r="AN861" s="17"/>
      <c r="AO861" s="17"/>
      <c r="AP861" s="17"/>
      <c r="AQ861" s="17"/>
      <c r="AR861" s="17"/>
      <c r="AS861" s="17"/>
      <c r="AT861" s="17"/>
      <c r="AU861" s="17"/>
      <c r="AV861" s="17"/>
      <c r="AW861" s="17"/>
      <c r="AX861" s="17"/>
      <c r="AY861" s="17"/>
      <c r="AZ861" s="17"/>
      <c r="BA861" s="17"/>
      <c r="BB861" s="17"/>
      <c r="BC861" s="17"/>
      <c r="BD861" s="17"/>
      <c r="BE861" s="17"/>
      <c r="BF861" s="17"/>
      <c r="BG861" s="17"/>
      <c r="BH861" s="17"/>
      <c r="BI861" s="17"/>
      <c r="BJ861" s="17"/>
      <c r="BK861" s="17"/>
      <c r="BL861" s="17"/>
      <c r="BM861" s="17"/>
      <c r="BN861" s="17"/>
      <c r="BO861" s="17"/>
      <c r="BP861" s="17"/>
      <c r="BQ861" s="17"/>
      <c r="BR861" s="17"/>
      <c r="BS861" s="17"/>
      <c r="BT861" s="17"/>
    </row>
    <row r="862" ht="12.0"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c r="AN862" s="17"/>
      <c r="AO862" s="17"/>
      <c r="AP862" s="17"/>
      <c r="AQ862" s="17"/>
      <c r="AR862" s="17"/>
      <c r="AS862" s="17"/>
      <c r="AT862" s="17"/>
      <c r="AU862" s="17"/>
      <c r="AV862" s="17"/>
      <c r="AW862" s="17"/>
      <c r="AX862" s="17"/>
      <c r="AY862" s="17"/>
      <c r="AZ862" s="17"/>
      <c r="BA862" s="17"/>
      <c r="BB862" s="17"/>
      <c r="BC862" s="17"/>
      <c r="BD862" s="17"/>
      <c r="BE862" s="17"/>
      <c r="BF862" s="17"/>
      <c r="BG862" s="17"/>
      <c r="BH862" s="17"/>
      <c r="BI862" s="17"/>
      <c r="BJ862" s="17"/>
      <c r="BK862" s="17"/>
      <c r="BL862" s="17"/>
      <c r="BM862" s="17"/>
      <c r="BN862" s="17"/>
      <c r="BO862" s="17"/>
      <c r="BP862" s="17"/>
      <c r="BQ862" s="17"/>
      <c r="BR862" s="17"/>
      <c r="BS862" s="17"/>
      <c r="BT862" s="17"/>
    </row>
    <row r="863" ht="12.0"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c r="AN863" s="17"/>
      <c r="AO863" s="17"/>
      <c r="AP863" s="17"/>
      <c r="AQ863" s="17"/>
      <c r="AR863" s="17"/>
      <c r="AS863" s="17"/>
      <c r="AT863" s="17"/>
      <c r="AU863" s="17"/>
      <c r="AV863" s="17"/>
      <c r="AW863" s="17"/>
      <c r="AX863" s="17"/>
      <c r="AY863" s="17"/>
      <c r="AZ863" s="17"/>
      <c r="BA863" s="17"/>
      <c r="BB863" s="17"/>
      <c r="BC863" s="17"/>
      <c r="BD863" s="17"/>
      <c r="BE863" s="17"/>
      <c r="BF863" s="17"/>
      <c r="BG863" s="17"/>
      <c r="BH863" s="17"/>
      <c r="BI863" s="17"/>
      <c r="BJ863" s="17"/>
      <c r="BK863" s="17"/>
      <c r="BL863" s="17"/>
      <c r="BM863" s="17"/>
      <c r="BN863" s="17"/>
      <c r="BO863" s="17"/>
      <c r="BP863" s="17"/>
      <c r="BQ863" s="17"/>
      <c r="BR863" s="17"/>
      <c r="BS863" s="17"/>
      <c r="BT863" s="17"/>
    </row>
    <row r="864" ht="12.0"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c r="AN864" s="17"/>
      <c r="AO864" s="17"/>
      <c r="AP864" s="17"/>
      <c r="AQ864" s="17"/>
      <c r="AR864" s="17"/>
      <c r="AS864" s="17"/>
      <c r="AT864" s="17"/>
      <c r="AU864" s="17"/>
      <c r="AV864" s="17"/>
      <c r="AW864" s="17"/>
      <c r="AX864" s="17"/>
      <c r="AY864" s="17"/>
      <c r="AZ864" s="17"/>
      <c r="BA864" s="17"/>
      <c r="BB864" s="17"/>
      <c r="BC864" s="17"/>
      <c r="BD864" s="17"/>
      <c r="BE864" s="17"/>
      <c r="BF864" s="17"/>
      <c r="BG864" s="17"/>
      <c r="BH864" s="17"/>
      <c r="BI864" s="17"/>
      <c r="BJ864" s="17"/>
      <c r="BK864" s="17"/>
      <c r="BL864" s="17"/>
      <c r="BM864" s="17"/>
      <c r="BN864" s="17"/>
      <c r="BO864" s="17"/>
      <c r="BP864" s="17"/>
      <c r="BQ864" s="17"/>
      <c r="BR864" s="17"/>
      <c r="BS864" s="17"/>
      <c r="BT864" s="17"/>
    </row>
    <row r="865" ht="12.0"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c r="BL865" s="17"/>
      <c r="BM865" s="17"/>
      <c r="BN865" s="17"/>
      <c r="BO865" s="17"/>
      <c r="BP865" s="17"/>
      <c r="BQ865" s="17"/>
      <c r="BR865" s="17"/>
      <c r="BS865" s="17"/>
      <c r="BT865" s="17"/>
    </row>
    <row r="866" ht="12.0"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c r="AN866" s="17"/>
      <c r="AO866" s="17"/>
      <c r="AP866" s="17"/>
      <c r="AQ866" s="17"/>
      <c r="AR866" s="17"/>
      <c r="AS866" s="17"/>
      <c r="AT866" s="17"/>
      <c r="AU866" s="17"/>
      <c r="AV866" s="17"/>
      <c r="AW866" s="17"/>
      <c r="AX866" s="17"/>
      <c r="AY866" s="17"/>
      <c r="AZ866" s="17"/>
      <c r="BA866" s="17"/>
      <c r="BB866" s="17"/>
      <c r="BC866" s="17"/>
      <c r="BD866" s="17"/>
      <c r="BE866" s="17"/>
      <c r="BF866" s="17"/>
      <c r="BG866" s="17"/>
      <c r="BH866" s="17"/>
      <c r="BI866" s="17"/>
      <c r="BJ866" s="17"/>
      <c r="BK866" s="17"/>
      <c r="BL866" s="17"/>
      <c r="BM866" s="17"/>
      <c r="BN866" s="17"/>
      <c r="BO866" s="17"/>
      <c r="BP866" s="17"/>
      <c r="BQ866" s="17"/>
      <c r="BR866" s="17"/>
      <c r="BS866" s="17"/>
      <c r="BT866" s="17"/>
    </row>
    <row r="867" ht="12.0"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c r="BL867" s="17"/>
      <c r="BM867" s="17"/>
      <c r="BN867" s="17"/>
      <c r="BO867" s="17"/>
      <c r="BP867" s="17"/>
      <c r="BQ867" s="17"/>
      <c r="BR867" s="17"/>
      <c r="BS867" s="17"/>
      <c r="BT867" s="17"/>
    </row>
    <row r="868" ht="12.0"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c r="AN868" s="17"/>
      <c r="AO868" s="17"/>
      <c r="AP868" s="17"/>
      <c r="AQ868" s="17"/>
      <c r="AR868" s="17"/>
      <c r="AS868" s="17"/>
      <c r="AT868" s="17"/>
      <c r="AU868" s="17"/>
      <c r="AV868" s="17"/>
      <c r="AW868" s="17"/>
      <c r="AX868" s="17"/>
      <c r="AY868" s="17"/>
      <c r="AZ868" s="17"/>
      <c r="BA868" s="17"/>
      <c r="BB868" s="17"/>
      <c r="BC868" s="17"/>
      <c r="BD868" s="17"/>
      <c r="BE868" s="17"/>
      <c r="BF868" s="17"/>
      <c r="BG868" s="17"/>
      <c r="BH868" s="17"/>
      <c r="BI868" s="17"/>
      <c r="BJ868" s="17"/>
      <c r="BK868" s="17"/>
      <c r="BL868" s="17"/>
      <c r="BM868" s="17"/>
      <c r="BN868" s="17"/>
      <c r="BO868" s="17"/>
      <c r="BP868" s="17"/>
      <c r="BQ868" s="17"/>
      <c r="BR868" s="17"/>
      <c r="BS868" s="17"/>
      <c r="BT868" s="17"/>
    </row>
    <row r="869" ht="12.0"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c r="AH869" s="17"/>
      <c r="AI869" s="17"/>
      <c r="AJ869" s="17"/>
      <c r="AK869" s="17"/>
      <c r="AL869" s="17"/>
      <c r="AM869" s="17"/>
      <c r="AN869" s="17"/>
      <c r="AO869" s="17"/>
      <c r="AP869" s="17"/>
      <c r="AQ869" s="17"/>
      <c r="AR869" s="17"/>
      <c r="AS869" s="17"/>
      <c r="AT869" s="17"/>
      <c r="AU869" s="17"/>
      <c r="AV869" s="17"/>
      <c r="AW869" s="17"/>
      <c r="AX869" s="17"/>
      <c r="AY869" s="17"/>
      <c r="AZ869" s="17"/>
      <c r="BA869" s="17"/>
      <c r="BB869" s="17"/>
      <c r="BC869" s="17"/>
      <c r="BD869" s="17"/>
      <c r="BE869" s="17"/>
      <c r="BF869" s="17"/>
      <c r="BG869" s="17"/>
      <c r="BH869" s="17"/>
      <c r="BI869" s="17"/>
      <c r="BJ869" s="17"/>
      <c r="BK869" s="17"/>
      <c r="BL869" s="17"/>
      <c r="BM869" s="17"/>
      <c r="BN869" s="17"/>
      <c r="BO869" s="17"/>
      <c r="BP869" s="17"/>
      <c r="BQ869" s="17"/>
      <c r="BR869" s="17"/>
      <c r="BS869" s="17"/>
      <c r="BT869" s="17"/>
    </row>
    <row r="870" ht="12.0"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c r="AH870" s="17"/>
      <c r="AI870" s="17"/>
      <c r="AJ870" s="17"/>
      <c r="AK870" s="17"/>
      <c r="AL870" s="17"/>
      <c r="AM870" s="17"/>
      <c r="AN870" s="17"/>
      <c r="AO870" s="17"/>
      <c r="AP870" s="17"/>
      <c r="AQ870" s="17"/>
      <c r="AR870" s="17"/>
      <c r="AS870" s="17"/>
      <c r="AT870" s="17"/>
      <c r="AU870" s="17"/>
      <c r="AV870" s="17"/>
      <c r="AW870" s="17"/>
      <c r="AX870" s="17"/>
      <c r="AY870" s="17"/>
      <c r="AZ870" s="17"/>
      <c r="BA870" s="17"/>
      <c r="BB870" s="17"/>
      <c r="BC870" s="17"/>
      <c r="BD870" s="17"/>
      <c r="BE870" s="17"/>
      <c r="BF870" s="17"/>
      <c r="BG870" s="17"/>
      <c r="BH870" s="17"/>
      <c r="BI870" s="17"/>
      <c r="BJ870" s="17"/>
      <c r="BK870" s="17"/>
      <c r="BL870" s="17"/>
      <c r="BM870" s="17"/>
      <c r="BN870" s="17"/>
      <c r="BO870" s="17"/>
      <c r="BP870" s="17"/>
      <c r="BQ870" s="17"/>
      <c r="BR870" s="17"/>
      <c r="BS870" s="17"/>
      <c r="BT870" s="17"/>
    </row>
    <row r="871" ht="12.0"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c r="AH871" s="17"/>
      <c r="AI871" s="17"/>
      <c r="AJ871" s="17"/>
      <c r="AK871" s="17"/>
      <c r="AL871" s="17"/>
      <c r="AM871" s="17"/>
      <c r="AN871" s="17"/>
      <c r="AO871" s="17"/>
      <c r="AP871" s="17"/>
      <c r="AQ871" s="17"/>
      <c r="AR871" s="17"/>
      <c r="AS871" s="17"/>
      <c r="AT871" s="17"/>
      <c r="AU871" s="17"/>
      <c r="AV871" s="17"/>
      <c r="AW871" s="17"/>
      <c r="AX871" s="17"/>
      <c r="AY871" s="17"/>
      <c r="AZ871" s="17"/>
      <c r="BA871" s="17"/>
      <c r="BB871" s="17"/>
      <c r="BC871" s="17"/>
      <c r="BD871" s="17"/>
      <c r="BE871" s="17"/>
      <c r="BF871" s="17"/>
      <c r="BG871" s="17"/>
      <c r="BH871" s="17"/>
      <c r="BI871" s="17"/>
      <c r="BJ871" s="17"/>
      <c r="BK871" s="17"/>
      <c r="BL871" s="17"/>
      <c r="BM871" s="17"/>
      <c r="BN871" s="17"/>
      <c r="BO871" s="17"/>
      <c r="BP871" s="17"/>
      <c r="BQ871" s="17"/>
      <c r="BR871" s="17"/>
      <c r="BS871" s="17"/>
      <c r="BT871" s="17"/>
    </row>
    <row r="872" ht="12.0"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c r="AH872" s="17"/>
      <c r="AI872" s="17"/>
      <c r="AJ872" s="17"/>
      <c r="AK872" s="17"/>
      <c r="AL872" s="17"/>
      <c r="AM872" s="17"/>
      <c r="AN872" s="17"/>
      <c r="AO872" s="17"/>
      <c r="AP872" s="17"/>
      <c r="AQ872" s="17"/>
      <c r="AR872" s="17"/>
      <c r="AS872" s="17"/>
      <c r="AT872" s="17"/>
      <c r="AU872" s="17"/>
      <c r="AV872" s="17"/>
      <c r="AW872" s="17"/>
      <c r="AX872" s="17"/>
      <c r="AY872" s="17"/>
      <c r="AZ872" s="17"/>
      <c r="BA872" s="17"/>
      <c r="BB872" s="17"/>
      <c r="BC872" s="17"/>
      <c r="BD872" s="17"/>
      <c r="BE872" s="17"/>
      <c r="BF872" s="17"/>
      <c r="BG872" s="17"/>
      <c r="BH872" s="17"/>
      <c r="BI872" s="17"/>
      <c r="BJ872" s="17"/>
      <c r="BK872" s="17"/>
      <c r="BL872" s="17"/>
      <c r="BM872" s="17"/>
      <c r="BN872" s="17"/>
      <c r="BO872" s="17"/>
      <c r="BP872" s="17"/>
      <c r="BQ872" s="17"/>
      <c r="BR872" s="17"/>
      <c r="BS872" s="17"/>
      <c r="BT872" s="17"/>
    </row>
    <row r="873" ht="12.0"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c r="AH873" s="17"/>
      <c r="AI873" s="17"/>
      <c r="AJ873" s="17"/>
      <c r="AK873" s="17"/>
      <c r="AL873" s="17"/>
      <c r="AM873" s="17"/>
      <c r="AN873" s="17"/>
      <c r="AO873" s="17"/>
      <c r="AP873" s="17"/>
      <c r="AQ873" s="17"/>
      <c r="AR873" s="17"/>
      <c r="AS873" s="17"/>
      <c r="AT873" s="17"/>
      <c r="AU873" s="17"/>
      <c r="AV873" s="17"/>
      <c r="AW873" s="17"/>
      <c r="AX873" s="17"/>
      <c r="AY873" s="17"/>
      <c r="AZ873" s="17"/>
      <c r="BA873" s="17"/>
      <c r="BB873" s="17"/>
      <c r="BC873" s="17"/>
      <c r="BD873" s="17"/>
      <c r="BE873" s="17"/>
      <c r="BF873" s="17"/>
      <c r="BG873" s="17"/>
      <c r="BH873" s="17"/>
      <c r="BI873" s="17"/>
      <c r="BJ873" s="17"/>
      <c r="BK873" s="17"/>
      <c r="BL873" s="17"/>
      <c r="BM873" s="17"/>
      <c r="BN873" s="17"/>
      <c r="BO873" s="17"/>
      <c r="BP873" s="17"/>
      <c r="BQ873" s="17"/>
      <c r="BR873" s="17"/>
      <c r="BS873" s="17"/>
      <c r="BT873" s="17"/>
    </row>
    <row r="874" ht="12.0"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c r="AH874" s="17"/>
      <c r="AI874" s="17"/>
      <c r="AJ874" s="17"/>
      <c r="AK874" s="17"/>
      <c r="AL874" s="17"/>
      <c r="AM874" s="17"/>
      <c r="AN874" s="17"/>
      <c r="AO874" s="17"/>
      <c r="AP874" s="17"/>
      <c r="AQ874" s="17"/>
      <c r="AR874" s="17"/>
      <c r="AS874" s="17"/>
      <c r="AT874" s="17"/>
      <c r="AU874" s="17"/>
      <c r="AV874" s="17"/>
      <c r="AW874" s="17"/>
      <c r="AX874" s="17"/>
      <c r="AY874" s="17"/>
      <c r="AZ874" s="17"/>
      <c r="BA874" s="17"/>
      <c r="BB874" s="17"/>
      <c r="BC874" s="17"/>
      <c r="BD874" s="17"/>
      <c r="BE874" s="17"/>
      <c r="BF874" s="17"/>
      <c r="BG874" s="17"/>
      <c r="BH874" s="17"/>
      <c r="BI874" s="17"/>
      <c r="BJ874" s="17"/>
      <c r="BK874" s="17"/>
      <c r="BL874" s="17"/>
      <c r="BM874" s="17"/>
      <c r="BN874" s="17"/>
      <c r="BO874" s="17"/>
      <c r="BP874" s="17"/>
      <c r="BQ874" s="17"/>
      <c r="BR874" s="17"/>
      <c r="BS874" s="17"/>
      <c r="BT874" s="17"/>
    </row>
    <row r="875" ht="12.0"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c r="BL875" s="17"/>
      <c r="BM875" s="17"/>
      <c r="BN875" s="17"/>
      <c r="BO875" s="17"/>
      <c r="BP875" s="17"/>
      <c r="BQ875" s="17"/>
      <c r="BR875" s="17"/>
      <c r="BS875" s="17"/>
      <c r="BT875" s="17"/>
    </row>
    <row r="876" ht="12.0"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c r="AH876" s="17"/>
      <c r="AI876" s="17"/>
      <c r="AJ876" s="17"/>
      <c r="AK876" s="17"/>
      <c r="AL876" s="17"/>
      <c r="AM876" s="17"/>
      <c r="AN876" s="17"/>
      <c r="AO876" s="17"/>
      <c r="AP876" s="17"/>
      <c r="AQ876" s="17"/>
      <c r="AR876" s="17"/>
      <c r="AS876" s="17"/>
      <c r="AT876" s="17"/>
      <c r="AU876" s="17"/>
      <c r="AV876" s="17"/>
      <c r="AW876" s="17"/>
      <c r="AX876" s="17"/>
      <c r="AY876" s="17"/>
      <c r="AZ876" s="17"/>
      <c r="BA876" s="17"/>
      <c r="BB876" s="17"/>
      <c r="BC876" s="17"/>
      <c r="BD876" s="17"/>
      <c r="BE876" s="17"/>
      <c r="BF876" s="17"/>
      <c r="BG876" s="17"/>
      <c r="BH876" s="17"/>
      <c r="BI876" s="17"/>
      <c r="BJ876" s="17"/>
      <c r="BK876" s="17"/>
      <c r="BL876" s="17"/>
      <c r="BM876" s="17"/>
      <c r="BN876" s="17"/>
      <c r="BO876" s="17"/>
      <c r="BP876" s="17"/>
      <c r="BQ876" s="17"/>
      <c r="BR876" s="17"/>
      <c r="BS876" s="17"/>
      <c r="BT876" s="17"/>
    </row>
    <row r="877" ht="12.0"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c r="AH877" s="17"/>
      <c r="AI877" s="17"/>
      <c r="AJ877" s="17"/>
      <c r="AK877" s="17"/>
      <c r="AL877" s="17"/>
      <c r="AM877" s="17"/>
      <c r="AN877" s="17"/>
      <c r="AO877" s="17"/>
      <c r="AP877" s="17"/>
      <c r="AQ877" s="17"/>
      <c r="AR877" s="17"/>
      <c r="AS877" s="17"/>
      <c r="AT877" s="17"/>
      <c r="AU877" s="17"/>
      <c r="AV877" s="17"/>
      <c r="AW877" s="17"/>
      <c r="AX877" s="17"/>
      <c r="AY877" s="17"/>
      <c r="AZ877" s="17"/>
      <c r="BA877" s="17"/>
      <c r="BB877" s="17"/>
      <c r="BC877" s="17"/>
      <c r="BD877" s="17"/>
      <c r="BE877" s="17"/>
      <c r="BF877" s="17"/>
      <c r="BG877" s="17"/>
      <c r="BH877" s="17"/>
      <c r="BI877" s="17"/>
      <c r="BJ877" s="17"/>
      <c r="BK877" s="17"/>
      <c r="BL877" s="17"/>
      <c r="BM877" s="17"/>
      <c r="BN877" s="17"/>
      <c r="BO877" s="17"/>
      <c r="BP877" s="17"/>
      <c r="BQ877" s="17"/>
      <c r="BR877" s="17"/>
      <c r="BS877" s="17"/>
      <c r="BT877" s="17"/>
    </row>
    <row r="878" ht="12.0"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c r="AH878" s="17"/>
      <c r="AI878" s="17"/>
      <c r="AJ878" s="17"/>
      <c r="AK878" s="17"/>
      <c r="AL878" s="17"/>
      <c r="AM878" s="17"/>
      <c r="AN878" s="17"/>
      <c r="AO878" s="17"/>
      <c r="AP878" s="17"/>
      <c r="AQ878" s="17"/>
      <c r="AR878" s="17"/>
      <c r="AS878" s="17"/>
      <c r="AT878" s="17"/>
      <c r="AU878" s="17"/>
      <c r="AV878" s="17"/>
      <c r="AW878" s="17"/>
      <c r="AX878" s="17"/>
      <c r="AY878" s="17"/>
      <c r="AZ878" s="17"/>
      <c r="BA878" s="17"/>
      <c r="BB878" s="17"/>
      <c r="BC878" s="17"/>
      <c r="BD878" s="17"/>
      <c r="BE878" s="17"/>
      <c r="BF878" s="17"/>
      <c r="BG878" s="17"/>
      <c r="BH878" s="17"/>
      <c r="BI878" s="17"/>
      <c r="BJ878" s="17"/>
      <c r="BK878" s="17"/>
      <c r="BL878" s="17"/>
      <c r="BM878" s="17"/>
      <c r="BN878" s="17"/>
      <c r="BO878" s="17"/>
      <c r="BP878" s="17"/>
      <c r="BQ878" s="17"/>
      <c r="BR878" s="17"/>
      <c r="BS878" s="17"/>
      <c r="BT878" s="17"/>
    </row>
    <row r="879" ht="12.0"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c r="AH879" s="17"/>
      <c r="AI879" s="17"/>
      <c r="AJ879" s="17"/>
      <c r="AK879" s="17"/>
      <c r="AL879" s="17"/>
      <c r="AM879" s="17"/>
      <c r="AN879" s="17"/>
      <c r="AO879" s="17"/>
      <c r="AP879" s="17"/>
      <c r="AQ879" s="17"/>
      <c r="AR879" s="17"/>
      <c r="AS879" s="17"/>
      <c r="AT879" s="17"/>
      <c r="AU879" s="17"/>
      <c r="AV879" s="17"/>
      <c r="AW879" s="17"/>
      <c r="AX879" s="17"/>
      <c r="AY879" s="17"/>
      <c r="AZ879" s="17"/>
      <c r="BA879" s="17"/>
      <c r="BB879" s="17"/>
      <c r="BC879" s="17"/>
      <c r="BD879" s="17"/>
      <c r="BE879" s="17"/>
      <c r="BF879" s="17"/>
      <c r="BG879" s="17"/>
      <c r="BH879" s="17"/>
      <c r="BI879" s="17"/>
      <c r="BJ879" s="17"/>
      <c r="BK879" s="17"/>
      <c r="BL879" s="17"/>
      <c r="BM879" s="17"/>
      <c r="BN879" s="17"/>
      <c r="BO879" s="17"/>
      <c r="BP879" s="17"/>
      <c r="BQ879" s="17"/>
      <c r="BR879" s="17"/>
      <c r="BS879" s="17"/>
      <c r="BT879" s="17"/>
    </row>
    <row r="880" ht="12.0"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c r="AH880" s="17"/>
      <c r="AI880" s="17"/>
      <c r="AJ880" s="17"/>
      <c r="AK880" s="17"/>
      <c r="AL880" s="17"/>
      <c r="AM880" s="17"/>
      <c r="AN880" s="17"/>
      <c r="AO880" s="17"/>
      <c r="AP880" s="17"/>
      <c r="AQ880" s="17"/>
      <c r="AR880" s="17"/>
      <c r="AS880" s="17"/>
      <c r="AT880" s="17"/>
      <c r="AU880" s="17"/>
      <c r="AV880" s="17"/>
      <c r="AW880" s="17"/>
      <c r="AX880" s="17"/>
      <c r="AY880" s="17"/>
      <c r="AZ880" s="17"/>
      <c r="BA880" s="17"/>
      <c r="BB880" s="17"/>
      <c r="BC880" s="17"/>
      <c r="BD880" s="17"/>
      <c r="BE880" s="17"/>
      <c r="BF880" s="17"/>
      <c r="BG880" s="17"/>
      <c r="BH880" s="17"/>
      <c r="BI880" s="17"/>
      <c r="BJ880" s="17"/>
      <c r="BK880" s="17"/>
      <c r="BL880" s="17"/>
      <c r="BM880" s="17"/>
      <c r="BN880" s="17"/>
      <c r="BO880" s="17"/>
      <c r="BP880" s="17"/>
      <c r="BQ880" s="17"/>
      <c r="BR880" s="17"/>
      <c r="BS880" s="17"/>
      <c r="BT880" s="17"/>
    </row>
    <row r="881" ht="12.0"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c r="AH881" s="17"/>
      <c r="AI881" s="17"/>
      <c r="AJ881" s="17"/>
      <c r="AK881" s="17"/>
      <c r="AL881" s="17"/>
      <c r="AM881" s="17"/>
      <c r="AN881" s="17"/>
      <c r="AO881" s="17"/>
      <c r="AP881" s="17"/>
      <c r="AQ881" s="17"/>
      <c r="AR881" s="17"/>
      <c r="AS881" s="17"/>
      <c r="AT881" s="17"/>
      <c r="AU881" s="17"/>
      <c r="AV881" s="17"/>
      <c r="AW881" s="17"/>
      <c r="AX881" s="17"/>
      <c r="AY881" s="17"/>
      <c r="AZ881" s="17"/>
      <c r="BA881" s="17"/>
      <c r="BB881" s="17"/>
      <c r="BC881" s="17"/>
      <c r="BD881" s="17"/>
      <c r="BE881" s="17"/>
      <c r="BF881" s="17"/>
      <c r="BG881" s="17"/>
      <c r="BH881" s="17"/>
      <c r="BI881" s="17"/>
      <c r="BJ881" s="17"/>
      <c r="BK881" s="17"/>
      <c r="BL881" s="17"/>
      <c r="BM881" s="17"/>
      <c r="BN881" s="17"/>
      <c r="BO881" s="17"/>
      <c r="BP881" s="17"/>
      <c r="BQ881" s="17"/>
      <c r="BR881" s="17"/>
      <c r="BS881" s="17"/>
      <c r="BT881" s="17"/>
    </row>
    <row r="882" ht="12.0"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c r="AH882" s="17"/>
      <c r="AI882" s="17"/>
      <c r="AJ882" s="17"/>
      <c r="AK882" s="17"/>
      <c r="AL882" s="17"/>
      <c r="AM882" s="17"/>
      <c r="AN882" s="17"/>
      <c r="AO882" s="17"/>
      <c r="AP882" s="17"/>
      <c r="AQ882" s="17"/>
      <c r="AR882" s="17"/>
      <c r="AS882" s="17"/>
      <c r="AT882" s="17"/>
      <c r="AU882" s="17"/>
      <c r="AV882" s="17"/>
      <c r="AW882" s="17"/>
      <c r="AX882" s="17"/>
      <c r="AY882" s="17"/>
      <c r="AZ882" s="17"/>
      <c r="BA882" s="17"/>
      <c r="BB882" s="17"/>
      <c r="BC882" s="17"/>
      <c r="BD882" s="17"/>
      <c r="BE882" s="17"/>
      <c r="BF882" s="17"/>
      <c r="BG882" s="17"/>
      <c r="BH882" s="17"/>
      <c r="BI882" s="17"/>
      <c r="BJ882" s="17"/>
      <c r="BK882" s="17"/>
      <c r="BL882" s="17"/>
      <c r="BM882" s="17"/>
      <c r="BN882" s="17"/>
      <c r="BO882" s="17"/>
      <c r="BP882" s="17"/>
      <c r="BQ882" s="17"/>
      <c r="BR882" s="17"/>
      <c r="BS882" s="17"/>
      <c r="BT882" s="17"/>
    </row>
    <row r="883" ht="12.0"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c r="AH883" s="17"/>
      <c r="AI883" s="17"/>
      <c r="AJ883" s="17"/>
      <c r="AK883" s="17"/>
      <c r="AL883" s="17"/>
      <c r="AM883" s="17"/>
      <c r="AN883" s="17"/>
      <c r="AO883" s="17"/>
      <c r="AP883" s="17"/>
      <c r="AQ883" s="17"/>
      <c r="AR883" s="17"/>
      <c r="AS883" s="17"/>
      <c r="AT883" s="17"/>
      <c r="AU883" s="17"/>
      <c r="AV883" s="17"/>
      <c r="AW883" s="17"/>
      <c r="AX883" s="17"/>
      <c r="AY883" s="17"/>
      <c r="AZ883" s="17"/>
      <c r="BA883" s="17"/>
      <c r="BB883" s="17"/>
      <c r="BC883" s="17"/>
      <c r="BD883" s="17"/>
      <c r="BE883" s="17"/>
      <c r="BF883" s="17"/>
      <c r="BG883" s="17"/>
      <c r="BH883" s="17"/>
      <c r="BI883" s="17"/>
      <c r="BJ883" s="17"/>
      <c r="BK883" s="17"/>
      <c r="BL883" s="17"/>
      <c r="BM883" s="17"/>
      <c r="BN883" s="17"/>
      <c r="BO883" s="17"/>
      <c r="BP883" s="17"/>
      <c r="BQ883" s="17"/>
      <c r="BR883" s="17"/>
      <c r="BS883" s="17"/>
      <c r="BT883" s="17"/>
    </row>
    <row r="884" ht="12.0"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c r="AH884" s="17"/>
      <c r="AI884" s="17"/>
      <c r="AJ884" s="17"/>
      <c r="AK884" s="17"/>
      <c r="AL884" s="17"/>
      <c r="AM884" s="17"/>
      <c r="AN884" s="17"/>
      <c r="AO884" s="17"/>
      <c r="AP884" s="17"/>
      <c r="AQ884" s="17"/>
      <c r="AR884" s="17"/>
      <c r="AS884" s="17"/>
      <c r="AT884" s="17"/>
      <c r="AU884" s="17"/>
      <c r="AV884" s="17"/>
      <c r="AW884" s="17"/>
      <c r="AX884" s="17"/>
      <c r="AY884" s="17"/>
      <c r="AZ884" s="17"/>
      <c r="BA884" s="17"/>
      <c r="BB884" s="17"/>
      <c r="BC884" s="17"/>
      <c r="BD884" s="17"/>
      <c r="BE884" s="17"/>
      <c r="BF884" s="17"/>
      <c r="BG884" s="17"/>
      <c r="BH884" s="17"/>
      <c r="BI884" s="17"/>
      <c r="BJ884" s="17"/>
      <c r="BK884" s="17"/>
      <c r="BL884" s="17"/>
      <c r="BM884" s="17"/>
      <c r="BN884" s="17"/>
      <c r="BO884" s="17"/>
      <c r="BP884" s="17"/>
      <c r="BQ884" s="17"/>
      <c r="BR884" s="17"/>
      <c r="BS884" s="17"/>
      <c r="BT884" s="17"/>
    </row>
    <row r="885" ht="12.0"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c r="AH885" s="17"/>
      <c r="AI885" s="17"/>
      <c r="AJ885" s="17"/>
      <c r="AK885" s="17"/>
      <c r="AL885" s="17"/>
      <c r="AM885" s="17"/>
      <c r="AN885" s="17"/>
      <c r="AO885" s="17"/>
      <c r="AP885" s="17"/>
      <c r="AQ885" s="17"/>
      <c r="AR885" s="17"/>
      <c r="AS885" s="17"/>
      <c r="AT885" s="17"/>
      <c r="AU885" s="17"/>
      <c r="AV885" s="17"/>
      <c r="AW885" s="17"/>
      <c r="AX885" s="17"/>
      <c r="AY885" s="17"/>
      <c r="AZ885" s="17"/>
      <c r="BA885" s="17"/>
      <c r="BB885" s="17"/>
      <c r="BC885" s="17"/>
      <c r="BD885" s="17"/>
      <c r="BE885" s="17"/>
      <c r="BF885" s="17"/>
      <c r="BG885" s="17"/>
      <c r="BH885" s="17"/>
      <c r="BI885" s="17"/>
      <c r="BJ885" s="17"/>
      <c r="BK885" s="17"/>
      <c r="BL885" s="17"/>
      <c r="BM885" s="17"/>
      <c r="BN885" s="17"/>
      <c r="BO885" s="17"/>
      <c r="BP885" s="17"/>
      <c r="BQ885" s="17"/>
      <c r="BR885" s="17"/>
      <c r="BS885" s="17"/>
      <c r="BT885" s="17"/>
    </row>
    <row r="886" ht="12.0"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c r="AH886" s="17"/>
      <c r="AI886" s="17"/>
      <c r="AJ886" s="17"/>
      <c r="AK886" s="17"/>
      <c r="AL886" s="17"/>
      <c r="AM886" s="17"/>
      <c r="AN886" s="17"/>
      <c r="AO886" s="17"/>
      <c r="AP886" s="17"/>
      <c r="AQ886" s="17"/>
      <c r="AR886" s="17"/>
      <c r="AS886" s="17"/>
      <c r="AT886" s="17"/>
      <c r="AU886" s="17"/>
      <c r="AV886" s="17"/>
      <c r="AW886" s="17"/>
      <c r="AX886" s="17"/>
      <c r="AY886" s="17"/>
      <c r="AZ886" s="17"/>
      <c r="BA886" s="17"/>
      <c r="BB886" s="17"/>
      <c r="BC886" s="17"/>
      <c r="BD886" s="17"/>
      <c r="BE886" s="17"/>
      <c r="BF886" s="17"/>
      <c r="BG886" s="17"/>
      <c r="BH886" s="17"/>
      <c r="BI886" s="17"/>
      <c r="BJ886" s="17"/>
      <c r="BK886" s="17"/>
      <c r="BL886" s="17"/>
      <c r="BM886" s="17"/>
      <c r="BN886" s="17"/>
      <c r="BO886" s="17"/>
      <c r="BP886" s="17"/>
      <c r="BQ886" s="17"/>
      <c r="BR886" s="17"/>
      <c r="BS886" s="17"/>
      <c r="BT886" s="17"/>
    </row>
    <row r="887" ht="12.0"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c r="AH887" s="17"/>
      <c r="AI887" s="17"/>
      <c r="AJ887" s="17"/>
      <c r="AK887" s="17"/>
      <c r="AL887" s="17"/>
      <c r="AM887" s="17"/>
      <c r="AN887" s="17"/>
      <c r="AO887" s="17"/>
      <c r="AP887" s="17"/>
      <c r="AQ887" s="17"/>
      <c r="AR887" s="17"/>
      <c r="AS887" s="17"/>
      <c r="AT887" s="17"/>
      <c r="AU887" s="17"/>
      <c r="AV887" s="17"/>
      <c r="AW887" s="17"/>
      <c r="AX887" s="17"/>
      <c r="AY887" s="17"/>
      <c r="AZ887" s="17"/>
      <c r="BA887" s="17"/>
      <c r="BB887" s="17"/>
      <c r="BC887" s="17"/>
      <c r="BD887" s="17"/>
      <c r="BE887" s="17"/>
      <c r="BF887" s="17"/>
      <c r="BG887" s="17"/>
      <c r="BH887" s="17"/>
      <c r="BI887" s="17"/>
      <c r="BJ887" s="17"/>
      <c r="BK887" s="17"/>
      <c r="BL887" s="17"/>
      <c r="BM887" s="17"/>
      <c r="BN887" s="17"/>
      <c r="BO887" s="17"/>
      <c r="BP887" s="17"/>
      <c r="BQ887" s="17"/>
      <c r="BR887" s="17"/>
      <c r="BS887" s="17"/>
      <c r="BT887" s="17"/>
    </row>
    <row r="888" ht="12.0"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c r="AP888" s="17"/>
      <c r="AQ888" s="17"/>
      <c r="AR888" s="17"/>
      <c r="AS888" s="17"/>
      <c r="AT888" s="17"/>
      <c r="AU888" s="17"/>
      <c r="AV888" s="17"/>
      <c r="AW888" s="17"/>
      <c r="AX888" s="17"/>
      <c r="AY888" s="17"/>
      <c r="AZ888" s="17"/>
      <c r="BA888" s="17"/>
      <c r="BB888" s="17"/>
      <c r="BC888" s="17"/>
      <c r="BD888" s="17"/>
      <c r="BE888" s="17"/>
      <c r="BF888" s="17"/>
      <c r="BG888" s="17"/>
      <c r="BH888" s="17"/>
      <c r="BI888" s="17"/>
      <c r="BJ888" s="17"/>
      <c r="BK888" s="17"/>
      <c r="BL888" s="17"/>
      <c r="BM888" s="17"/>
      <c r="BN888" s="17"/>
      <c r="BO888" s="17"/>
      <c r="BP888" s="17"/>
      <c r="BQ888" s="17"/>
      <c r="BR888" s="17"/>
      <c r="BS888" s="17"/>
      <c r="BT888" s="17"/>
    </row>
    <row r="889" ht="12.0"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c r="AH889" s="17"/>
      <c r="AI889" s="17"/>
      <c r="AJ889" s="17"/>
      <c r="AK889" s="17"/>
      <c r="AL889" s="17"/>
      <c r="AM889" s="17"/>
      <c r="AN889" s="17"/>
      <c r="AO889" s="17"/>
      <c r="AP889" s="17"/>
      <c r="AQ889" s="17"/>
      <c r="AR889" s="17"/>
      <c r="AS889" s="17"/>
      <c r="AT889" s="17"/>
      <c r="AU889" s="17"/>
      <c r="AV889" s="17"/>
      <c r="AW889" s="17"/>
      <c r="AX889" s="17"/>
      <c r="AY889" s="17"/>
      <c r="AZ889" s="17"/>
      <c r="BA889" s="17"/>
      <c r="BB889" s="17"/>
      <c r="BC889" s="17"/>
      <c r="BD889" s="17"/>
      <c r="BE889" s="17"/>
      <c r="BF889" s="17"/>
      <c r="BG889" s="17"/>
      <c r="BH889" s="17"/>
      <c r="BI889" s="17"/>
      <c r="BJ889" s="17"/>
      <c r="BK889" s="17"/>
      <c r="BL889" s="17"/>
      <c r="BM889" s="17"/>
      <c r="BN889" s="17"/>
      <c r="BO889" s="17"/>
      <c r="BP889" s="17"/>
      <c r="BQ889" s="17"/>
      <c r="BR889" s="17"/>
      <c r="BS889" s="17"/>
      <c r="BT889" s="17"/>
    </row>
    <row r="890" ht="12.0"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c r="AI890" s="17"/>
      <c r="AJ890" s="17"/>
      <c r="AK890" s="17"/>
      <c r="AL890" s="17"/>
      <c r="AM890" s="17"/>
      <c r="AN890" s="17"/>
      <c r="AO890" s="17"/>
      <c r="AP890" s="17"/>
      <c r="AQ890" s="17"/>
      <c r="AR890" s="17"/>
      <c r="AS890" s="17"/>
      <c r="AT890" s="17"/>
      <c r="AU890" s="17"/>
      <c r="AV890" s="17"/>
      <c r="AW890" s="17"/>
      <c r="AX890" s="17"/>
      <c r="AY890" s="17"/>
      <c r="AZ890" s="17"/>
      <c r="BA890" s="17"/>
      <c r="BB890" s="17"/>
      <c r="BC890" s="17"/>
      <c r="BD890" s="17"/>
      <c r="BE890" s="17"/>
      <c r="BF890" s="17"/>
      <c r="BG890" s="17"/>
      <c r="BH890" s="17"/>
      <c r="BI890" s="17"/>
      <c r="BJ890" s="17"/>
      <c r="BK890" s="17"/>
      <c r="BL890" s="17"/>
      <c r="BM890" s="17"/>
      <c r="BN890" s="17"/>
      <c r="BO890" s="17"/>
      <c r="BP890" s="17"/>
      <c r="BQ890" s="17"/>
      <c r="BR890" s="17"/>
      <c r="BS890" s="17"/>
      <c r="BT890" s="17"/>
    </row>
    <row r="891" ht="12.0"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c r="AH891" s="17"/>
      <c r="AI891" s="17"/>
      <c r="AJ891" s="17"/>
      <c r="AK891" s="17"/>
      <c r="AL891" s="17"/>
      <c r="AM891" s="17"/>
      <c r="AN891" s="17"/>
      <c r="AO891" s="17"/>
      <c r="AP891" s="17"/>
      <c r="AQ891" s="17"/>
      <c r="AR891" s="17"/>
      <c r="AS891" s="17"/>
      <c r="AT891" s="17"/>
      <c r="AU891" s="17"/>
      <c r="AV891" s="17"/>
      <c r="AW891" s="17"/>
      <c r="AX891" s="17"/>
      <c r="AY891" s="17"/>
      <c r="AZ891" s="17"/>
      <c r="BA891" s="17"/>
      <c r="BB891" s="17"/>
      <c r="BC891" s="17"/>
      <c r="BD891" s="17"/>
      <c r="BE891" s="17"/>
      <c r="BF891" s="17"/>
      <c r="BG891" s="17"/>
      <c r="BH891" s="17"/>
      <c r="BI891" s="17"/>
      <c r="BJ891" s="17"/>
      <c r="BK891" s="17"/>
      <c r="BL891" s="17"/>
      <c r="BM891" s="17"/>
      <c r="BN891" s="17"/>
      <c r="BO891" s="17"/>
      <c r="BP891" s="17"/>
      <c r="BQ891" s="17"/>
      <c r="BR891" s="17"/>
      <c r="BS891" s="17"/>
      <c r="BT891" s="17"/>
    </row>
    <row r="892" ht="12.0"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c r="AH892" s="17"/>
      <c r="AI892" s="17"/>
      <c r="AJ892" s="17"/>
      <c r="AK892" s="17"/>
      <c r="AL892" s="17"/>
      <c r="AM892" s="17"/>
      <c r="AN892" s="17"/>
      <c r="AO892" s="17"/>
      <c r="AP892" s="17"/>
      <c r="AQ892" s="17"/>
      <c r="AR892" s="17"/>
      <c r="AS892" s="17"/>
      <c r="AT892" s="17"/>
      <c r="AU892" s="17"/>
      <c r="AV892" s="17"/>
      <c r="AW892" s="17"/>
      <c r="AX892" s="17"/>
      <c r="AY892" s="17"/>
      <c r="AZ892" s="17"/>
      <c r="BA892" s="17"/>
      <c r="BB892" s="17"/>
      <c r="BC892" s="17"/>
      <c r="BD892" s="17"/>
      <c r="BE892" s="17"/>
      <c r="BF892" s="17"/>
      <c r="BG892" s="17"/>
      <c r="BH892" s="17"/>
      <c r="BI892" s="17"/>
      <c r="BJ892" s="17"/>
      <c r="BK892" s="17"/>
      <c r="BL892" s="17"/>
      <c r="BM892" s="17"/>
      <c r="BN892" s="17"/>
      <c r="BO892" s="17"/>
      <c r="BP892" s="17"/>
      <c r="BQ892" s="17"/>
      <c r="BR892" s="17"/>
      <c r="BS892" s="17"/>
      <c r="BT892" s="17"/>
    </row>
    <row r="893" ht="12.0"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c r="AH893" s="17"/>
      <c r="AI893" s="17"/>
      <c r="AJ893" s="17"/>
      <c r="AK893" s="17"/>
      <c r="AL893" s="17"/>
      <c r="AM893" s="17"/>
      <c r="AN893" s="17"/>
      <c r="AO893" s="17"/>
      <c r="AP893" s="17"/>
      <c r="AQ893" s="17"/>
      <c r="AR893" s="17"/>
      <c r="AS893" s="17"/>
      <c r="AT893" s="17"/>
      <c r="AU893" s="17"/>
      <c r="AV893" s="17"/>
      <c r="AW893" s="17"/>
      <c r="AX893" s="17"/>
      <c r="AY893" s="17"/>
      <c r="AZ893" s="17"/>
      <c r="BA893" s="17"/>
      <c r="BB893" s="17"/>
      <c r="BC893" s="17"/>
      <c r="BD893" s="17"/>
      <c r="BE893" s="17"/>
      <c r="BF893" s="17"/>
      <c r="BG893" s="17"/>
      <c r="BH893" s="17"/>
      <c r="BI893" s="17"/>
      <c r="BJ893" s="17"/>
      <c r="BK893" s="17"/>
      <c r="BL893" s="17"/>
      <c r="BM893" s="17"/>
      <c r="BN893" s="17"/>
      <c r="BO893" s="17"/>
      <c r="BP893" s="17"/>
      <c r="BQ893" s="17"/>
      <c r="BR893" s="17"/>
      <c r="BS893" s="17"/>
      <c r="BT893" s="17"/>
    </row>
    <row r="894" ht="12.0"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c r="AH894" s="17"/>
      <c r="AI894" s="17"/>
      <c r="AJ894" s="17"/>
      <c r="AK894" s="17"/>
      <c r="AL894" s="17"/>
      <c r="AM894" s="17"/>
      <c r="AN894" s="17"/>
      <c r="AO894" s="17"/>
      <c r="AP894" s="17"/>
      <c r="AQ894" s="17"/>
      <c r="AR894" s="17"/>
      <c r="AS894" s="17"/>
      <c r="AT894" s="17"/>
      <c r="AU894" s="17"/>
      <c r="AV894" s="17"/>
      <c r="AW894" s="17"/>
      <c r="AX894" s="17"/>
      <c r="AY894" s="17"/>
      <c r="AZ894" s="17"/>
      <c r="BA894" s="17"/>
      <c r="BB894" s="17"/>
      <c r="BC894" s="17"/>
      <c r="BD894" s="17"/>
      <c r="BE894" s="17"/>
      <c r="BF894" s="17"/>
      <c r="BG894" s="17"/>
      <c r="BH894" s="17"/>
      <c r="BI894" s="17"/>
      <c r="BJ894" s="17"/>
      <c r="BK894" s="17"/>
      <c r="BL894" s="17"/>
      <c r="BM894" s="17"/>
      <c r="BN894" s="17"/>
      <c r="BO894" s="17"/>
      <c r="BP894" s="17"/>
      <c r="BQ894" s="17"/>
      <c r="BR894" s="17"/>
      <c r="BS894" s="17"/>
      <c r="BT894" s="17"/>
    </row>
    <row r="895" ht="12.0"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c r="AH895" s="17"/>
      <c r="AI895" s="17"/>
      <c r="AJ895" s="17"/>
      <c r="AK895" s="17"/>
      <c r="AL895" s="17"/>
      <c r="AM895" s="17"/>
      <c r="AN895" s="17"/>
      <c r="AO895" s="17"/>
      <c r="AP895" s="17"/>
      <c r="AQ895" s="17"/>
      <c r="AR895" s="17"/>
      <c r="AS895" s="17"/>
      <c r="AT895" s="17"/>
      <c r="AU895" s="17"/>
      <c r="AV895" s="17"/>
      <c r="AW895" s="17"/>
      <c r="AX895" s="17"/>
      <c r="AY895" s="17"/>
      <c r="AZ895" s="17"/>
      <c r="BA895" s="17"/>
      <c r="BB895" s="17"/>
      <c r="BC895" s="17"/>
      <c r="BD895" s="17"/>
      <c r="BE895" s="17"/>
      <c r="BF895" s="17"/>
      <c r="BG895" s="17"/>
      <c r="BH895" s="17"/>
      <c r="BI895" s="17"/>
      <c r="BJ895" s="17"/>
      <c r="BK895" s="17"/>
      <c r="BL895" s="17"/>
      <c r="BM895" s="17"/>
      <c r="BN895" s="17"/>
      <c r="BO895" s="17"/>
      <c r="BP895" s="17"/>
      <c r="BQ895" s="17"/>
      <c r="BR895" s="17"/>
      <c r="BS895" s="17"/>
      <c r="BT895" s="17"/>
    </row>
    <row r="896" ht="12.0"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c r="AH896" s="17"/>
      <c r="AI896" s="17"/>
      <c r="AJ896" s="17"/>
      <c r="AK896" s="17"/>
      <c r="AL896" s="17"/>
      <c r="AM896" s="17"/>
      <c r="AN896" s="17"/>
      <c r="AO896" s="17"/>
      <c r="AP896" s="17"/>
      <c r="AQ896" s="17"/>
      <c r="AR896" s="17"/>
      <c r="AS896" s="17"/>
      <c r="AT896" s="17"/>
      <c r="AU896" s="17"/>
      <c r="AV896" s="17"/>
      <c r="AW896" s="17"/>
      <c r="AX896" s="17"/>
      <c r="AY896" s="17"/>
      <c r="AZ896" s="17"/>
      <c r="BA896" s="17"/>
      <c r="BB896" s="17"/>
      <c r="BC896" s="17"/>
      <c r="BD896" s="17"/>
      <c r="BE896" s="17"/>
      <c r="BF896" s="17"/>
      <c r="BG896" s="17"/>
      <c r="BH896" s="17"/>
      <c r="BI896" s="17"/>
      <c r="BJ896" s="17"/>
      <c r="BK896" s="17"/>
      <c r="BL896" s="17"/>
      <c r="BM896" s="17"/>
      <c r="BN896" s="17"/>
      <c r="BO896" s="17"/>
      <c r="BP896" s="17"/>
      <c r="BQ896" s="17"/>
      <c r="BR896" s="17"/>
      <c r="BS896" s="17"/>
      <c r="BT896" s="17"/>
    </row>
    <row r="897" ht="12.0"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c r="AH897" s="17"/>
      <c r="AI897" s="17"/>
      <c r="AJ897" s="17"/>
      <c r="AK897" s="17"/>
      <c r="AL897" s="17"/>
      <c r="AM897" s="17"/>
      <c r="AN897" s="17"/>
      <c r="AO897" s="17"/>
      <c r="AP897" s="17"/>
      <c r="AQ897" s="17"/>
      <c r="AR897" s="17"/>
      <c r="AS897" s="17"/>
      <c r="AT897" s="17"/>
      <c r="AU897" s="17"/>
      <c r="AV897" s="17"/>
      <c r="AW897" s="17"/>
      <c r="AX897" s="17"/>
      <c r="AY897" s="17"/>
      <c r="AZ897" s="17"/>
      <c r="BA897" s="17"/>
      <c r="BB897" s="17"/>
      <c r="BC897" s="17"/>
      <c r="BD897" s="17"/>
      <c r="BE897" s="17"/>
      <c r="BF897" s="17"/>
      <c r="BG897" s="17"/>
      <c r="BH897" s="17"/>
      <c r="BI897" s="17"/>
      <c r="BJ897" s="17"/>
      <c r="BK897" s="17"/>
      <c r="BL897" s="17"/>
      <c r="BM897" s="17"/>
      <c r="BN897" s="17"/>
      <c r="BO897" s="17"/>
      <c r="BP897" s="17"/>
      <c r="BQ897" s="17"/>
      <c r="BR897" s="17"/>
      <c r="BS897" s="17"/>
      <c r="BT897" s="17"/>
    </row>
    <row r="898" ht="12.0"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c r="AH898" s="17"/>
      <c r="AI898" s="17"/>
      <c r="AJ898" s="17"/>
      <c r="AK898" s="17"/>
      <c r="AL898" s="17"/>
      <c r="AM898" s="17"/>
      <c r="AN898" s="17"/>
      <c r="AO898" s="17"/>
      <c r="AP898" s="17"/>
      <c r="AQ898" s="17"/>
      <c r="AR898" s="17"/>
      <c r="AS898" s="17"/>
      <c r="AT898" s="17"/>
      <c r="AU898" s="17"/>
      <c r="AV898" s="17"/>
      <c r="AW898" s="17"/>
      <c r="AX898" s="17"/>
      <c r="AY898" s="17"/>
      <c r="AZ898" s="17"/>
      <c r="BA898" s="17"/>
      <c r="BB898" s="17"/>
      <c r="BC898" s="17"/>
      <c r="BD898" s="17"/>
      <c r="BE898" s="17"/>
      <c r="BF898" s="17"/>
      <c r="BG898" s="17"/>
      <c r="BH898" s="17"/>
      <c r="BI898" s="17"/>
      <c r="BJ898" s="17"/>
      <c r="BK898" s="17"/>
      <c r="BL898" s="17"/>
      <c r="BM898" s="17"/>
      <c r="BN898" s="17"/>
      <c r="BO898" s="17"/>
      <c r="BP898" s="17"/>
      <c r="BQ898" s="17"/>
      <c r="BR898" s="17"/>
      <c r="BS898" s="17"/>
      <c r="BT898" s="17"/>
    </row>
    <row r="899" ht="12.0"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c r="AH899" s="17"/>
      <c r="AI899" s="17"/>
      <c r="AJ899" s="17"/>
      <c r="AK899" s="17"/>
      <c r="AL899" s="17"/>
      <c r="AM899" s="17"/>
      <c r="AN899" s="17"/>
      <c r="AO899" s="17"/>
      <c r="AP899" s="17"/>
      <c r="AQ899" s="17"/>
      <c r="AR899" s="17"/>
      <c r="AS899" s="17"/>
      <c r="AT899" s="17"/>
      <c r="AU899" s="17"/>
      <c r="AV899" s="17"/>
      <c r="AW899" s="17"/>
      <c r="AX899" s="17"/>
      <c r="AY899" s="17"/>
      <c r="AZ899" s="17"/>
      <c r="BA899" s="17"/>
      <c r="BB899" s="17"/>
      <c r="BC899" s="17"/>
      <c r="BD899" s="17"/>
      <c r="BE899" s="17"/>
      <c r="BF899" s="17"/>
      <c r="BG899" s="17"/>
      <c r="BH899" s="17"/>
      <c r="BI899" s="17"/>
      <c r="BJ899" s="17"/>
      <c r="BK899" s="17"/>
      <c r="BL899" s="17"/>
      <c r="BM899" s="17"/>
      <c r="BN899" s="17"/>
      <c r="BO899" s="17"/>
      <c r="BP899" s="17"/>
      <c r="BQ899" s="17"/>
      <c r="BR899" s="17"/>
      <c r="BS899" s="17"/>
      <c r="BT899" s="17"/>
    </row>
    <row r="900" ht="12.0"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c r="AH900" s="17"/>
      <c r="AI900" s="17"/>
      <c r="AJ900" s="17"/>
      <c r="AK900" s="17"/>
      <c r="AL900" s="17"/>
      <c r="AM900" s="17"/>
      <c r="AN900" s="17"/>
      <c r="AO900" s="17"/>
      <c r="AP900" s="17"/>
      <c r="AQ900" s="17"/>
      <c r="AR900" s="17"/>
      <c r="AS900" s="17"/>
      <c r="AT900" s="17"/>
      <c r="AU900" s="17"/>
      <c r="AV900" s="17"/>
      <c r="AW900" s="17"/>
      <c r="AX900" s="17"/>
      <c r="AY900" s="17"/>
      <c r="AZ900" s="17"/>
      <c r="BA900" s="17"/>
      <c r="BB900" s="17"/>
      <c r="BC900" s="17"/>
      <c r="BD900" s="17"/>
      <c r="BE900" s="17"/>
      <c r="BF900" s="17"/>
      <c r="BG900" s="17"/>
      <c r="BH900" s="17"/>
      <c r="BI900" s="17"/>
      <c r="BJ900" s="17"/>
      <c r="BK900" s="17"/>
      <c r="BL900" s="17"/>
      <c r="BM900" s="17"/>
      <c r="BN900" s="17"/>
      <c r="BO900" s="17"/>
      <c r="BP900" s="17"/>
      <c r="BQ900" s="17"/>
      <c r="BR900" s="17"/>
      <c r="BS900" s="17"/>
      <c r="BT900" s="17"/>
    </row>
    <row r="901" ht="12.0"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c r="AH901" s="17"/>
      <c r="AI901" s="17"/>
      <c r="AJ901" s="17"/>
      <c r="AK901" s="17"/>
      <c r="AL901" s="17"/>
      <c r="AM901" s="17"/>
      <c r="AN901" s="17"/>
      <c r="AO901" s="17"/>
      <c r="AP901" s="17"/>
      <c r="AQ901" s="17"/>
      <c r="AR901" s="17"/>
      <c r="AS901" s="17"/>
      <c r="AT901" s="17"/>
      <c r="AU901" s="17"/>
      <c r="AV901" s="17"/>
      <c r="AW901" s="17"/>
      <c r="AX901" s="17"/>
      <c r="AY901" s="17"/>
      <c r="AZ901" s="17"/>
      <c r="BA901" s="17"/>
      <c r="BB901" s="17"/>
      <c r="BC901" s="17"/>
      <c r="BD901" s="17"/>
      <c r="BE901" s="17"/>
      <c r="BF901" s="17"/>
      <c r="BG901" s="17"/>
      <c r="BH901" s="17"/>
      <c r="BI901" s="17"/>
      <c r="BJ901" s="17"/>
      <c r="BK901" s="17"/>
      <c r="BL901" s="17"/>
      <c r="BM901" s="17"/>
      <c r="BN901" s="17"/>
      <c r="BO901" s="17"/>
      <c r="BP901" s="17"/>
      <c r="BQ901" s="17"/>
      <c r="BR901" s="17"/>
      <c r="BS901" s="17"/>
      <c r="BT901" s="17"/>
    </row>
    <row r="902" ht="12.0"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c r="AH902" s="17"/>
      <c r="AI902" s="17"/>
      <c r="AJ902" s="17"/>
      <c r="AK902" s="17"/>
      <c r="AL902" s="17"/>
      <c r="AM902" s="17"/>
      <c r="AN902" s="17"/>
      <c r="AO902" s="17"/>
      <c r="AP902" s="17"/>
      <c r="AQ902" s="17"/>
      <c r="AR902" s="17"/>
      <c r="AS902" s="17"/>
      <c r="AT902" s="17"/>
      <c r="AU902" s="17"/>
      <c r="AV902" s="17"/>
      <c r="AW902" s="17"/>
      <c r="AX902" s="17"/>
      <c r="AY902" s="17"/>
      <c r="AZ902" s="17"/>
      <c r="BA902" s="17"/>
      <c r="BB902" s="17"/>
      <c r="BC902" s="17"/>
      <c r="BD902" s="17"/>
      <c r="BE902" s="17"/>
      <c r="BF902" s="17"/>
      <c r="BG902" s="17"/>
      <c r="BH902" s="17"/>
      <c r="BI902" s="17"/>
      <c r="BJ902" s="17"/>
      <c r="BK902" s="17"/>
      <c r="BL902" s="17"/>
      <c r="BM902" s="17"/>
      <c r="BN902" s="17"/>
      <c r="BO902" s="17"/>
      <c r="BP902" s="17"/>
      <c r="BQ902" s="17"/>
      <c r="BR902" s="17"/>
      <c r="BS902" s="17"/>
      <c r="BT902" s="17"/>
    </row>
    <row r="903" ht="12.0"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c r="AH903" s="17"/>
      <c r="AI903" s="17"/>
      <c r="AJ903" s="17"/>
      <c r="AK903" s="17"/>
      <c r="AL903" s="17"/>
      <c r="AM903" s="17"/>
      <c r="AN903" s="17"/>
      <c r="AO903" s="17"/>
      <c r="AP903" s="17"/>
      <c r="AQ903" s="17"/>
      <c r="AR903" s="17"/>
      <c r="AS903" s="17"/>
      <c r="AT903" s="17"/>
      <c r="AU903" s="17"/>
      <c r="AV903" s="17"/>
      <c r="AW903" s="17"/>
      <c r="AX903" s="17"/>
      <c r="AY903" s="17"/>
      <c r="AZ903" s="17"/>
      <c r="BA903" s="17"/>
      <c r="BB903" s="17"/>
      <c r="BC903" s="17"/>
      <c r="BD903" s="17"/>
      <c r="BE903" s="17"/>
      <c r="BF903" s="17"/>
      <c r="BG903" s="17"/>
      <c r="BH903" s="17"/>
      <c r="BI903" s="17"/>
      <c r="BJ903" s="17"/>
      <c r="BK903" s="17"/>
      <c r="BL903" s="17"/>
      <c r="BM903" s="17"/>
      <c r="BN903" s="17"/>
      <c r="BO903" s="17"/>
      <c r="BP903" s="17"/>
      <c r="BQ903" s="17"/>
      <c r="BR903" s="17"/>
      <c r="BS903" s="17"/>
      <c r="BT903" s="17"/>
    </row>
    <row r="904" ht="12.0"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c r="AO904" s="17"/>
      <c r="AP904" s="17"/>
      <c r="AQ904" s="17"/>
      <c r="AR904" s="17"/>
      <c r="AS904" s="17"/>
      <c r="AT904" s="17"/>
      <c r="AU904" s="17"/>
      <c r="AV904" s="17"/>
      <c r="AW904" s="17"/>
      <c r="AX904" s="17"/>
      <c r="AY904" s="17"/>
      <c r="AZ904" s="17"/>
      <c r="BA904" s="17"/>
      <c r="BB904" s="17"/>
      <c r="BC904" s="17"/>
      <c r="BD904" s="17"/>
      <c r="BE904" s="17"/>
      <c r="BF904" s="17"/>
      <c r="BG904" s="17"/>
      <c r="BH904" s="17"/>
      <c r="BI904" s="17"/>
      <c r="BJ904" s="17"/>
      <c r="BK904" s="17"/>
      <c r="BL904" s="17"/>
      <c r="BM904" s="17"/>
      <c r="BN904" s="17"/>
      <c r="BO904" s="17"/>
      <c r="BP904" s="17"/>
      <c r="BQ904" s="17"/>
      <c r="BR904" s="17"/>
      <c r="BS904" s="17"/>
      <c r="BT904" s="17"/>
    </row>
    <row r="905" ht="12.0"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c r="AH905" s="17"/>
      <c r="AI905" s="17"/>
      <c r="AJ905" s="17"/>
      <c r="AK905" s="17"/>
      <c r="AL905" s="17"/>
      <c r="AM905" s="17"/>
      <c r="AN905" s="17"/>
      <c r="AO905" s="17"/>
      <c r="AP905" s="17"/>
      <c r="AQ905" s="17"/>
      <c r="AR905" s="17"/>
      <c r="AS905" s="17"/>
      <c r="AT905" s="17"/>
      <c r="AU905" s="17"/>
      <c r="AV905" s="17"/>
      <c r="AW905" s="17"/>
      <c r="AX905" s="17"/>
      <c r="AY905" s="17"/>
      <c r="AZ905" s="17"/>
      <c r="BA905" s="17"/>
      <c r="BB905" s="17"/>
      <c r="BC905" s="17"/>
      <c r="BD905" s="17"/>
      <c r="BE905" s="17"/>
      <c r="BF905" s="17"/>
      <c r="BG905" s="17"/>
      <c r="BH905" s="17"/>
      <c r="BI905" s="17"/>
      <c r="BJ905" s="17"/>
      <c r="BK905" s="17"/>
      <c r="BL905" s="17"/>
      <c r="BM905" s="17"/>
      <c r="BN905" s="17"/>
      <c r="BO905" s="17"/>
      <c r="BP905" s="17"/>
      <c r="BQ905" s="17"/>
      <c r="BR905" s="17"/>
      <c r="BS905" s="17"/>
      <c r="BT905" s="17"/>
    </row>
    <row r="906" ht="12.0"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c r="AH906" s="17"/>
      <c r="AI906" s="17"/>
      <c r="AJ906" s="17"/>
      <c r="AK906" s="17"/>
      <c r="AL906" s="17"/>
      <c r="AM906" s="17"/>
      <c r="AN906" s="17"/>
      <c r="AO906" s="17"/>
      <c r="AP906" s="17"/>
      <c r="AQ906" s="17"/>
      <c r="AR906" s="17"/>
      <c r="AS906" s="17"/>
      <c r="AT906" s="17"/>
      <c r="AU906" s="17"/>
      <c r="AV906" s="17"/>
      <c r="AW906" s="17"/>
      <c r="AX906" s="17"/>
      <c r="AY906" s="17"/>
      <c r="AZ906" s="17"/>
      <c r="BA906" s="17"/>
      <c r="BB906" s="17"/>
      <c r="BC906" s="17"/>
      <c r="BD906" s="17"/>
      <c r="BE906" s="17"/>
      <c r="BF906" s="17"/>
      <c r="BG906" s="17"/>
      <c r="BH906" s="17"/>
      <c r="BI906" s="17"/>
      <c r="BJ906" s="17"/>
      <c r="BK906" s="17"/>
      <c r="BL906" s="17"/>
      <c r="BM906" s="17"/>
      <c r="BN906" s="17"/>
      <c r="BO906" s="17"/>
      <c r="BP906" s="17"/>
      <c r="BQ906" s="17"/>
      <c r="BR906" s="17"/>
      <c r="BS906" s="17"/>
      <c r="BT906" s="17"/>
    </row>
    <row r="907" ht="12.0"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c r="AH907" s="17"/>
      <c r="AI907" s="17"/>
      <c r="AJ907" s="17"/>
      <c r="AK907" s="17"/>
      <c r="AL907" s="17"/>
      <c r="AM907" s="17"/>
      <c r="AN907" s="17"/>
      <c r="AO907" s="17"/>
      <c r="AP907" s="17"/>
      <c r="AQ907" s="17"/>
      <c r="AR907" s="17"/>
      <c r="AS907" s="17"/>
      <c r="AT907" s="17"/>
      <c r="AU907" s="17"/>
      <c r="AV907" s="17"/>
      <c r="AW907" s="17"/>
      <c r="AX907" s="17"/>
      <c r="AY907" s="17"/>
      <c r="AZ907" s="17"/>
      <c r="BA907" s="17"/>
      <c r="BB907" s="17"/>
      <c r="BC907" s="17"/>
      <c r="BD907" s="17"/>
      <c r="BE907" s="17"/>
      <c r="BF907" s="17"/>
      <c r="BG907" s="17"/>
      <c r="BH907" s="17"/>
      <c r="BI907" s="17"/>
      <c r="BJ907" s="17"/>
      <c r="BK907" s="17"/>
      <c r="BL907" s="17"/>
      <c r="BM907" s="17"/>
      <c r="BN907" s="17"/>
      <c r="BO907" s="17"/>
      <c r="BP907" s="17"/>
      <c r="BQ907" s="17"/>
      <c r="BR907" s="17"/>
      <c r="BS907" s="17"/>
      <c r="BT907" s="17"/>
    </row>
    <row r="908" ht="12.0"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c r="AH908" s="17"/>
      <c r="AI908" s="17"/>
      <c r="AJ908" s="17"/>
      <c r="AK908" s="17"/>
      <c r="AL908" s="17"/>
      <c r="AM908" s="17"/>
      <c r="AN908" s="17"/>
      <c r="AO908" s="17"/>
      <c r="AP908" s="17"/>
      <c r="AQ908" s="17"/>
      <c r="AR908" s="17"/>
      <c r="AS908" s="17"/>
      <c r="AT908" s="17"/>
      <c r="AU908" s="17"/>
      <c r="AV908" s="17"/>
      <c r="AW908" s="17"/>
      <c r="AX908" s="17"/>
      <c r="AY908" s="17"/>
      <c r="AZ908" s="17"/>
      <c r="BA908" s="17"/>
      <c r="BB908" s="17"/>
      <c r="BC908" s="17"/>
      <c r="BD908" s="17"/>
      <c r="BE908" s="17"/>
      <c r="BF908" s="17"/>
      <c r="BG908" s="17"/>
      <c r="BH908" s="17"/>
      <c r="BI908" s="17"/>
      <c r="BJ908" s="17"/>
      <c r="BK908" s="17"/>
      <c r="BL908" s="17"/>
      <c r="BM908" s="17"/>
      <c r="BN908" s="17"/>
      <c r="BO908" s="17"/>
      <c r="BP908" s="17"/>
      <c r="BQ908" s="17"/>
      <c r="BR908" s="17"/>
      <c r="BS908" s="17"/>
      <c r="BT908" s="17"/>
    </row>
    <row r="909" ht="12.0"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c r="AH909" s="17"/>
      <c r="AI909" s="17"/>
      <c r="AJ909" s="17"/>
      <c r="AK909" s="17"/>
      <c r="AL909" s="17"/>
      <c r="AM909" s="17"/>
      <c r="AN909" s="17"/>
      <c r="AO909" s="17"/>
      <c r="AP909" s="17"/>
      <c r="AQ909" s="17"/>
      <c r="AR909" s="17"/>
      <c r="AS909" s="17"/>
      <c r="AT909" s="17"/>
      <c r="AU909" s="17"/>
      <c r="AV909" s="17"/>
      <c r="AW909" s="17"/>
      <c r="AX909" s="17"/>
      <c r="AY909" s="17"/>
      <c r="AZ909" s="17"/>
      <c r="BA909" s="17"/>
      <c r="BB909" s="17"/>
      <c r="BC909" s="17"/>
      <c r="BD909" s="17"/>
      <c r="BE909" s="17"/>
      <c r="BF909" s="17"/>
      <c r="BG909" s="17"/>
      <c r="BH909" s="17"/>
      <c r="BI909" s="17"/>
      <c r="BJ909" s="17"/>
      <c r="BK909" s="17"/>
      <c r="BL909" s="17"/>
      <c r="BM909" s="17"/>
      <c r="BN909" s="17"/>
      <c r="BO909" s="17"/>
      <c r="BP909" s="17"/>
      <c r="BQ909" s="17"/>
      <c r="BR909" s="17"/>
      <c r="BS909" s="17"/>
      <c r="BT909" s="17"/>
    </row>
    <row r="910" ht="12.0"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c r="AH910" s="17"/>
      <c r="AI910" s="17"/>
      <c r="AJ910" s="17"/>
      <c r="AK910" s="17"/>
      <c r="AL910" s="17"/>
      <c r="AM910" s="17"/>
      <c r="AN910" s="17"/>
      <c r="AO910" s="17"/>
      <c r="AP910" s="17"/>
      <c r="AQ910" s="17"/>
      <c r="AR910" s="17"/>
      <c r="AS910" s="17"/>
      <c r="AT910" s="17"/>
      <c r="AU910" s="17"/>
      <c r="AV910" s="17"/>
      <c r="AW910" s="17"/>
      <c r="AX910" s="17"/>
      <c r="AY910" s="17"/>
      <c r="AZ910" s="17"/>
      <c r="BA910" s="17"/>
      <c r="BB910" s="17"/>
      <c r="BC910" s="17"/>
      <c r="BD910" s="17"/>
      <c r="BE910" s="17"/>
      <c r="BF910" s="17"/>
      <c r="BG910" s="17"/>
      <c r="BH910" s="17"/>
      <c r="BI910" s="17"/>
      <c r="BJ910" s="17"/>
      <c r="BK910" s="17"/>
      <c r="BL910" s="17"/>
      <c r="BM910" s="17"/>
      <c r="BN910" s="17"/>
      <c r="BO910" s="17"/>
      <c r="BP910" s="17"/>
      <c r="BQ910" s="17"/>
      <c r="BR910" s="17"/>
      <c r="BS910" s="17"/>
      <c r="BT910" s="17"/>
    </row>
    <row r="911" ht="12.0"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c r="AH911" s="17"/>
      <c r="AI911" s="17"/>
      <c r="AJ911" s="17"/>
      <c r="AK911" s="17"/>
      <c r="AL911" s="17"/>
      <c r="AM911" s="17"/>
      <c r="AN911" s="17"/>
      <c r="AO911" s="17"/>
      <c r="AP911" s="17"/>
      <c r="AQ911" s="17"/>
      <c r="AR911" s="17"/>
      <c r="AS911" s="17"/>
      <c r="AT911" s="17"/>
      <c r="AU911" s="17"/>
      <c r="AV911" s="17"/>
      <c r="AW911" s="17"/>
      <c r="AX911" s="17"/>
      <c r="AY911" s="17"/>
      <c r="AZ911" s="17"/>
      <c r="BA911" s="17"/>
      <c r="BB911" s="17"/>
      <c r="BC911" s="17"/>
      <c r="BD911" s="17"/>
      <c r="BE911" s="17"/>
      <c r="BF911" s="17"/>
      <c r="BG911" s="17"/>
      <c r="BH911" s="17"/>
      <c r="BI911" s="17"/>
      <c r="BJ911" s="17"/>
      <c r="BK911" s="17"/>
      <c r="BL911" s="17"/>
      <c r="BM911" s="17"/>
      <c r="BN911" s="17"/>
      <c r="BO911" s="17"/>
      <c r="BP911" s="17"/>
      <c r="BQ911" s="17"/>
      <c r="BR911" s="17"/>
      <c r="BS911" s="17"/>
      <c r="BT911" s="17"/>
    </row>
    <row r="912" ht="12.0"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c r="AH912" s="17"/>
      <c r="AI912" s="17"/>
      <c r="AJ912" s="17"/>
      <c r="AK912" s="17"/>
      <c r="AL912" s="17"/>
      <c r="AM912" s="17"/>
      <c r="AN912" s="17"/>
      <c r="AO912" s="17"/>
      <c r="AP912" s="17"/>
      <c r="AQ912" s="17"/>
      <c r="AR912" s="17"/>
      <c r="AS912" s="17"/>
      <c r="AT912" s="17"/>
      <c r="AU912" s="17"/>
      <c r="AV912" s="17"/>
      <c r="AW912" s="17"/>
      <c r="AX912" s="17"/>
      <c r="AY912" s="17"/>
      <c r="AZ912" s="17"/>
      <c r="BA912" s="17"/>
      <c r="BB912" s="17"/>
      <c r="BC912" s="17"/>
      <c r="BD912" s="17"/>
      <c r="BE912" s="17"/>
      <c r="BF912" s="17"/>
      <c r="BG912" s="17"/>
      <c r="BH912" s="17"/>
      <c r="BI912" s="17"/>
      <c r="BJ912" s="17"/>
      <c r="BK912" s="17"/>
      <c r="BL912" s="17"/>
      <c r="BM912" s="17"/>
      <c r="BN912" s="17"/>
      <c r="BO912" s="17"/>
      <c r="BP912" s="17"/>
      <c r="BQ912" s="17"/>
      <c r="BR912" s="17"/>
      <c r="BS912" s="17"/>
      <c r="BT912" s="17"/>
    </row>
    <row r="913" ht="12.0"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c r="AH913" s="17"/>
      <c r="AI913" s="17"/>
      <c r="AJ913" s="17"/>
      <c r="AK913" s="17"/>
      <c r="AL913" s="17"/>
      <c r="AM913" s="17"/>
      <c r="AN913" s="17"/>
      <c r="AO913" s="17"/>
      <c r="AP913" s="17"/>
      <c r="AQ913" s="17"/>
      <c r="AR913" s="17"/>
      <c r="AS913" s="17"/>
      <c r="AT913" s="17"/>
      <c r="AU913" s="17"/>
      <c r="AV913" s="17"/>
      <c r="AW913" s="17"/>
      <c r="AX913" s="17"/>
      <c r="AY913" s="17"/>
      <c r="AZ913" s="17"/>
      <c r="BA913" s="17"/>
      <c r="BB913" s="17"/>
      <c r="BC913" s="17"/>
      <c r="BD913" s="17"/>
      <c r="BE913" s="17"/>
      <c r="BF913" s="17"/>
      <c r="BG913" s="17"/>
      <c r="BH913" s="17"/>
      <c r="BI913" s="17"/>
      <c r="BJ913" s="17"/>
      <c r="BK913" s="17"/>
      <c r="BL913" s="17"/>
      <c r="BM913" s="17"/>
      <c r="BN913" s="17"/>
      <c r="BO913" s="17"/>
      <c r="BP913" s="17"/>
      <c r="BQ913" s="17"/>
      <c r="BR913" s="17"/>
      <c r="BS913" s="17"/>
      <c r="BT913" s="17"/>
    </row>
    <row r="914" ht="12.0"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914" s="17"/>
      <c r="AN914" s="17"/>
      <c r="AO914" s="17"/>
      <c r="AP914" s="17"/>
      <c r="AQ914" s="17"/>
      <c r="AR914" s="17"/>
      <c r="AS914" s="17"/>
      <c r="AT914" s="17"/>
      <c r="AU914" s="17"/>
      <c r="AV914" s="17"/>
      <c r="AW914" s="17"/>
      <c r="AX914" s="17"/>
      <c r="AY914" s="17"/>
      <c r="AZ914" s="17"/>
      <c r="BA914" s="17"/>
      <c r="BB914" s="17"/>
      <c r="BC914" s="17"/>
      <c r="BD914" s="17"/>
      <c r="BE914" s="17"/>
      <c r="BF914" s="17"/>
      <c r="BG914" s="17"/>
      <c r="BH914" s="17"/>
      <c r="BI914" s="17"/>
      <c r="BJ914" s="17"/>
      <c r="BK914" s="17"/>
      <c r="BL914" s="17"/>
      <c r="BM914" s="17"/>
      <c r="BN914" s="17"/>
      <c r="BO914" s="17"/>
      <c r="BP914" s="17"/>
      <c r="BQ914" s="17"/>
      <c r="BR914" s="17"/>
      <c r="BS914" s="17"/>
      <c r="BT914" s="17"/>
    </row>
    <row r="915" ht="12.0"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c r="AH915" s="17"/>
      <c r="AI915" s="17"/>
      <c r="AJ915" s="17"/>
      <c r="AK915" s="17"/>
      <c r="AL915" s="17"/>
      <c r="AM915" s="17"/>
      <c r="AN915" s="17"/>
      <c r="AO915" s="17"/>
      <c r="AP915" s="17"/>
      <c r="AQ915" s="17"/>
      <c r="AR915" s="17"/>
      <c r="AS915" s="17"/>
      <c r="AT915" s="17"/>
      <c r="AU915" s="17"/>
      <c r="AV915" s="17"/>
      <c r="AW915" s="17"/>
      <c r="AX915" s="17"/>
      <c r="AY915" s="17"/>
      <c r="AZ915" s="17"/>
      <c r="BA915" s="17"/>
      <c r="BB915" s="17"/>
      <c r="BC915" s="17"/>
      <c r="BD915" s="17"/>
      <c r="BE915" s="17"/>
      <c r="BF915" s="17"/>
      <c r="BG915" s="17"/>
      <c r="BH915" s="17"/>
      <c r="BI915" s="17"/>
      <c r="BJ915" s="17"/>
      <c r="BK915" s="17"/>
      <c r="BL915" s="17"/>
      <c r="BM915" s="17"/>
      <c r="BN915" s="17"/>
      <c r="BO915" s="17"/>
      <c r="BP915" s="17"/>
      <c r="BQ915" s="17"/>
      <c r="BR915" s="17"/>
      <c r="BS915" s="17"/>
      <c r="BT915" s="17"/>
    </row>
    <row r="916" ht="12.0"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c r="AH916" s="17"/>
      <c r="AI916" s="17"/>
      <c r="AJ916" s="17"/>
      <c r="AK916" s="17"/>
      <c r="AL916" s="17"/>
      <c r="AM916" s="17"/>
      <c r="AN916" s="17"/>
      <c r="AO916" s="17"/>
      <c r="AP916" s="17"/>
      <c r="AQ916" s="17"/>
      <c r="AR916" s="17"/>
      <c r="AS916" s="17"/>
      <c r="AT916" s="17"/>
      <c r="AU916" s="17"/>
      <c r="AV916" s="17"/>
      <c r="AW916" s="17"/>
      <c r="AX916" s="17"/>
      <c r="AY916" s="17"/>
      <c r="AZ916" s="17"/>
      <c r="BA916" s="17"/>
      <c r="BB916" s="17"/>
      <c r="BC916" s="17"/>
      <c r="BD916" s="17"/>
      <c r="BE916" s="17"/>
      <c r="BF916" s="17"/>
      <c r="BG916" s="17"/>
      <c r="BH916" s="17"/>
      <c r="BI916" s="17"/>
      <c r="BJ916" s="17"/>
      <c r="BK916" s="17"/>
      <c r="BL916" s="17"/>
      <c r="BM916" s="17"/>
      <c r="BN916" s="17"/>
      <c r="BO916" s="17"/>
      <c r="BP916" s="17"/>
      <c r="BQ916" s="17"/>
      <c r="BR916" s="17"/>
      <c r="BS916" s="17"/>
      <c r="BT916" s="17"/>
    </row>
    <row r="917" ht="12.0"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c r="AH917" s="17"/>
      <c r="AI917" s="17"/>
      <c r="AJ917" s="17"/>
      <c r="AK917" s="17"/>
      <c r="AL917" s="17"/>
      <c r="AM917" s="17"/>
      <c r="AN917" s="17"/>
      <c r="AO917" s="17"/>
      <c r="AP917" s="17"/>
      <c r="AQ917" s="17"/>
      <c r="AR917" s="17"/>
      <c r="AS917" s="17"/>
      <c r="AT917" s="17"/>
      <c r="AU917" s="17"/>
      <c r="AV917" s="17"/>
      <c r="AW917" s="17"/>
      <c r="AX917" s="17"/>
      <c r="AY917" s="17"/>
      <c r="AZ917" s="17"/>
      <c r="BA917" s="17"/>
      <c r="BB917" s="17"/>
      <c r="BC917" s="17"/>
      <c r="BD917" s="17"/>
      <c r="BE917" s="17"/>
      <c r="BF917" s="17"/>
      <c r="BG917" s="17"/>
      <c r="BH917" s="17"/>
      <c r="BI917" s="17"/>
      <c r="BJ917" s="17"/>
      <c r="BK917" s="17"/>
      <c r="BL917" s="17"/>
      <c r="BM917" s="17"/>
      <c r="BN917" s="17"/>
      <c r="BO917" s="17"/>
      <c r="BP917" s="17"/>
      <c r="BQ917" s="17"/>
      <c r="BR917" s="17"/>
      <c r="BS917" s="17"/>
      <c r="BT917" s="17"/>
    </row>
    <row r="918" ht="12.0"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c r="AH918" s="17"/>
      <c r="AI918" s="17"/>
      <c r="AJ918" s="17"/>
      <c r="AK918" s="17"/>
      <c r="AL918" s="17"/>
      <c r="AM918" s="17"/>
      <c r="AN918" s="17"/>
      <c r="AO918" s="17"/>
      <c r="AP918" s="17"/>
      <c r="AQ918" s="17"/>
      <c r="AR918" s="17"/>
      <c r="AS918" s="17"/>
      <c r="AT918" s="17"/>
      <c r="AU918" s="17"/>
      <c r="AV918" s="17"/>
      <c r="AW918" s="17"/>
      <c r="AX918" s="17"/>
      <c r="AY918" s="17"/>
      <c r="AZ918" s="17"/>
      <c r="BA918" s="17"/>
      <c r="BB918" s="17"/>
      <c r="BC918" s="17"/>
      <c r="BD918" s="17"/>
      <c r="BE918" s="17"/>
      <c r="BF918" s="17"/>
      <c r="BG918" s="17"/>
      <c r="BH918" s="17"/>
      <c r="BI918" s="17"/>
      <c r="BJ918" s="17"/>
      <c r="BK918" s="17"/>
      <c r="BL918" s="17"/>
      <c r="BM918" s="17"/>
      <c r="BN918" s="17"/>
      <c r="BO918" s="17"/>
      <c r="BP918" s="17"/>
      <c r="BQ918" s="17"/>
      <c r="BR918" s="17"/>
      <c r="BS918" s="17"/>
      <c r="BT918" s="17"/>
    </row>
    <row r="919" ht="12.0"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c r="AH919" s="17"/>
      <c r="AI919" s="17"/>
      <c r="AJ919" s="17"/>
      <c r="AK919" s="17"/>
      <c r="AL919" s="17"/>
      <c r="AM919" s="17"/>
      <c r="AN919" s="17"/>
      <c r="AO919" s="17"/>
      <c r="AP919" s="17"/>
      <c r="AQ919" s="17"/>
      <c r="AR919" s="17"/>
      <c r="AS919" s="17"/>
      <c r="AT919" s="17"/>
      <c r="AU919" s="17"/>
      <c r="AV919" s="17"/>
      <c r="AW919" s="17"/>
      <c r="AX919" s="17"/>
      <c r="AY919" s="17"/>
      <c r="AZ919" s="17"/>
      <c r="BA919" s="17"/>
      <c r="BB919" s="17"/>
      <c r="BC919" s="17"/>
      <c r="BD919" s="17"/>
      <c r="BE919" s="17"/>
      <c r="BF919" s="17"/>
      <c r="BG919" s="17"/>
      <c r="BH919" s="17"/>
      <c r="BI919" s="17"/>
      <c r="BJ919" s="17"/>
      <c r="BK919" s="17"/>
      <c r="BL919" s="17"/>
      <c r="BM919" s="17"/>
      <c r="BN919" s="17"/>
      <c r="BO919" s="17"/>
      <c r="BP919" s="17"/>
      <c r="BQ919" s="17"/>
      <c r="BR919" s="17"/>
      <c r="BS919" s="17"/>
      <c r="BT919" s="17"/>
    </row>
    <row r="920" ht="12.0"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c r="AH920" s="17"/>
      <c r="AI920" s="17"/>
      <c r="AJ920" s="17"/>
      <c r="AK920" s="17"/>
      <c r="AL920" s="17"/>
      <c r="AM920" s="17"/>
      <c r="AN920" s="17"/>
      <c r="AO920" s="17"/>
      <c r="AP920" s="17"/>
      <c r="AQ920" s="17"/>
      <c r="AR920" s="17"/>
      <c r="AS920" s="17"/>
      <c r="AT920" s="17"/>
      <c r="AU920" s="17"/>
      <c r="AV920" s="17"/>
      <c r="AW920" s="17"/>
      <c r="AX920" s="17"/>
      <c r="AY920" s="17"/>
      <c r="AZ920" s="17"/>
      <c r="BA920" s="17"/>
      <c r="BB920" s="17"/>
      <c r="BC920" s="17"/>
      <c r="BD920" s="17"/>
      <c r="BE920" s="17"/>
      <c r="BF920" s="17"/>
      <c r="BG920" s="17"/>
      <c r="BH920" s="17"/>
      <c r="BI920" s="17"/>
      <c r="BJ920" s="17"/>
      <c r="BK920" s="17"/>
      <c r="BL920" s="17"/>
      <c r="BM920" s="17"/>
      <c r="BN920" s="17"/>
      <c r="BO920" s="17"/>
      <c r="BP920" s="17"/>
      <c r="BQ920" s="17"/>
      <c r="BR920" s="17"/>
      <c r="BS920" s="17"/>
      <c r="BT920" s="17"/>
    </row>
    <row r="921" ht="12.0"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c r="AH921" s="17"/>
      <c r="AI921" s="17"/>
      <c r="AJ921" s="17"/>
      <c r="AK921" s="17"/>
      <c r="AL921" s="17"/>
      <c r="AM921" s="17"/>
      <c r="AN921" s="17"/>
      <c r="AO921" s="17"/>
      <c r="AP921" s="17"/>
      <c r="AQ921" s="17"/>
      <c r="AR921" s="17"/>
      <c r="AS921" s="17"/>
      <c r="AT921" s="17"/>
      <c r="AU921" s="17"/>
      <c r="AV921" s="17"/>
      <c r="AW921" s="17"/>
      <c r="AX921" s="17"/>
      <c r="AY921" s="17"/>
      <c r="AZ921" s="17"/>
      <c r="BA921" s="17"/>
      <c r="BB921" s="17"/>
      <c r="BC921" s="17"/>
      <c r="BD921" s="17"/>
      <c r="BE921" s="17"/>
      <c r="BF921" s="17"/>
      <c r="BG921" s="17"/>
      <c r="BH921" s="17"/>
      <c r="BI921" s="17"/>
      <c r="BJ921" s="17"/>
      <c r="BK921" s="17"/>
      <c r="BL921" s="17"/>
      <c r="BM921" s="17"/>
      <c r="BN921" s="17"/>
      <c r="BO921" s="17"/>
      <c r="BP921" s="17"/>
      <c r="BQ921" s="17"/>
      <c r="BR921" s="17"/>
      <c r="BS921" s="17"/>
      <c r="BT921" s="17"/>
    </row>
    <row r="922" ht="12.0"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c r="AH922" s="17"/>
      <c r="AI922" s="17"/>
      <c r="AJ922" s="17"/>
      <c r="AK922" s="17"/>
      <c r="AL922" s="17"/>
      <c r="AM922" s="17"/>
      <c r="AN922" s="17"/>
      <c r="AO922" s="17"/>
      <c r="AP922" s="17"/>
      <c r="AQ922" s="17"/>
      <c r="AR922" s="17"/>
      <c r="AS922" s="17"/>
      <c r="AT922" s="17"/>
      <c r="AU922" s="17"/>
      <c r="AV922" s="17"/>
      <c r="AW922" s="17"/>
      <c r="AX922" s="17"/>
      <c r="AY922" s="17"/>
      <c r="AZ922" s="17"/>
      <c r="BA922" s="17"/>
      <c r="BB922" s="17"/>
      <c r="BC922" s="17"/>
      <c r="BD922" s="17"/>
      <c r="BE922" s="17"/>
      <c r="BF922" s="17"/>
      <c r="BG922" s="17"/>
      <c r="BH922" s="17"/>
      <c r="BI922" s="17"/>
      <c r="BJ922" s="17"/>
      <c r="BK922" s="17"/>
      <c r="BL922" s="17"/>
      <c r="BM922" s="17"/>
      <c r="BN922" s="17"/>
      <c r="BO922" s="17"/>
      <c r="BP922" s="17"/>
      <c r="BQ922" s="17"/>
      <c r="BR922" s="17"/>
      <c r="BS922" s="17"/>
      <c r="BT922" s="17"/>
    </row>
    <row r="923" ht="12.0"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c r="BH923" s="17"/>
      <c r="BI923" s="17"/>
      <c r="BJ923" s="17"/>
      <c r="BK923" s="17"/>
      <c r="BL923" s="17"/>
      <c r="BM923" s="17"/>
      <c r="BN923" s="17"/>
      <c r="BO923" s="17"/>
      <c r="BP923" s="17"/>
      <c r="BQ923" s="17"/>
      <c r="BR923" s="17"/>
      <c r="BS923" s="17"/>
      <c r="BT923" s="17"/>
    </row>
    <row r="924" ht="12.0"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c r="AH924" s="17"/>
      <c r="AI924" s="17"/>
      <c r="AJ924" s="17"/>
      <c r="AK924" s="17"/>
      <c r="AL924" s="17"/>
      <c r="AM924" s="17"/>
      <c r="AN924" s="17"/>
      <c r="AO924" s="17"/>
      <c r="AP924" s="17"/>
      <c r="AQ924" s="17"/>
      <c r="AR924" s="17"/>
      <c r="AS924" s="17"/>
      <c r="AT924" s="17"/>
      <c r="AU924" s="17"/>
      <c r="AV924" s="17"/>
      <c r="AW924" s="17"/>
      <c r="AX924" s="17"/>
      <c r="AY924" s="17"/>
      <c r="AZ924" s="17"/>
      <c r="BA924" s="17"/>
      <c r="BB924" s="17"/>
      <c r="BC924" s="17"/>
      <c r="BD924" s="17"/>
      <c r="BE924" s="17"/>
      <c r="BF924" s="17"/>
      <c r="BG924" s="17"/>
      <c r="BH924" s="17"/>
      <c r="BI924" s="17"/>
      <c r="BJ924" s="17"/>
      <c r="BK924" s="17"/>
      <c r="BL924" s="17"/>
      <c r="BM924" s="17"/>
      <c r="BN924" s="17"/>
      <c r="BO924" s="17"/>
      <c r="BP924" s="17"/>
      <c r="BQ924" s="17"/>
      <c r="BR924" s="17"/>
      <c r="BS924" s="17"/>
      <c r="BT924" s="17"/>
    </row>
    <row r="925" ht="12.0"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c r="AH925" s="17"/>
      <c r="AI925" s="17"/>
      <c r="AJ925" s="17"/>
      <c r="AK925" s="17"/>
      <c r="AL925" s="17"/>
      <c r="AM925" s="17"/>
      <c r="AN925" s="17"/>
      <c r="AO925" s="17"/>
      <c r="AP925" s="17"/>
      <c r="AQ925" s="17"/>
      <c r="AR925" s="17"/>
      <c r="AS925" s="17"/>
      <c r="AT925" s="17"/>
      <c r="AU925" s="17"/>
      <c r="AV925" s="17"/>
      <c r="AW925" s="17"/>
      <c r="AX925" s="17"/>
      <c r="AY925" s="17"/>
      <c r="AZ925" s="17"/>
      <c r="BA925" s="17"/>
      <c r="BB925" s="17"/>
      <c r="BC925" s="17"/>
      <c r="BD925" s="17"/>
      <c r="BE925" s="17"/>
      <c r="BF925" s="17"/>
      <c r="BG925" s="17"/>
      <c r="BH925" s="17"/>
      <c r="BI925" s="17"/>
      <c r="BJ925" s="17"/>
      <c r="BK925" s="17"/>
      <c r="BL925" s="17"/>
      <c r="BM925" s="17"/>
      <c r="BN925" s="17"/>
      <c r="BO925" s="17"/>
      <c r="BP925" s="17"/>
      <c r="BQ925" s="17"/>
      <c r="BR925" s="17"/>
      <c r="BS925" s="17"/>
      <c r="BT925" s="17"/>
    </row>
    <row r="926" ht="12.0"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c r="AH926" s="17"/>
      <c r="AI926" s="17"/>
      <c r="AJ926" s="17"/>
      <c r="AK926" s="17"/>
      <c r="AL926" s="17"/>
      <c r="AM926" s="17"/>
      <c r="AN926" s="17"/>
      <c r="AO926" s="17"/>
      <c r="AP926" s="17"/>
      <c r="AQ926" s="17"/>
      <c r="AR926" s="17"/>
      <c r="AS926" s="17"/>
      <c r="AT926" s="17"/>
      <c r="AU926" s="17"/>
      <c r="AV926" s="17"/>
      <c r="AW926" s="17"/>
      <c r="AX926" s="17"/>
      <c r="AY926" s="17"/>
      <c r="AZ926" s="17"/>
      <c r="BA926" s="17"/>
      <c r="BB926" s="17"/>
      <c r="BC926" s="17"/>
      <c r="BD926" s="17"/>
      <c r="BE926" s="17"/>
      <c r="BF926" s="17"/>
      <c r="BG926" s="17"/>
      <c r="BH926" s="17"/>
      <c r="BI926" s="17"/>
      <c r="BJ926" s="17"/>
      <c r="BK926" s="17"/>
      <c r="BL926" s="17"/>
      <c r="BM926" s="17"/>
      <c r="BN926" s="17"/>
      <c r="BO926" s="17"/>
      <c r="BP926" s="17"/>
      <c r="BQ926" s="17"/>
      <c r="BR926" s="17"/>
      <c r="BS926" s="17"/>
      <c r="BT926" s="17"/>
    </row>
    <row r="927" ht="12.0"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c r="AH927" s="17"/>
      <c r="AI927" s="17"/>
      <c r="AJ927" s="17"/>
      <c r="AK927" s="17"/>
      <c r="AL927" s="17"/>
      <c r="AM927" s="17"/>
      <c r="AN927" s="17"/>
      <c r="AO927" s="17"/>
      <c r="AP927" s="17"/>
      <c r="AQ927" s="17"/>
      <c r="AR927" s="17"/>
      <c r="AS927" s="17"/>
      <c r="AT927" s="17"/>
      <c r="AU927" s="17"/>
      <c r="AV927" s="17"/>
      <c r="AW927" s="17"/>
      <c r="AX927" s="17"/>
      <c r="AY927" s="17"/>
      <c r="AZ927" s="17"/>
      <c r="BA927" s="17"/>
      <c r="BB927" s="17"/>
      <c r="BC927" s="17"/>
      <c r="BD927" s="17"/>
      <c r="BE927" s="17"/>
      <c r="BF927" s="17"/>
      <c r="BG927" s="17"/>
      <c r="BH927" s="17"/>
      <c r="BI927" s="17"/>
      <c r="BJ927" s="17"/>
      <c r="BK927" s="17"/>
      <c r="BL927" s="17"/>
      <c r="BM927" s="17"/>
      <c r="BN927" s="17"/>
      <c r="BO927" s="17"/>
      <c r="BP927" s="17"/>
      <c r="BQ927" s="17"/>
      <c r="BR927" s="17"/>
      <c r="BS927" s="17"/>
      <c r="BT927" s="17"/>
    </row>
    <row r="928" ht="12.0"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c r="AH928" s="17"/>
      <c r="AI928" s="17"/>
      <c r="AJ928" s="17"/>
      <c r="AK928" s="17"/>
      <c r="AL928" s="17"/>
      <c r="AM928" s="17"/>
      <c r="AN928" s="17"/>
      <c r="AO928" s="17"/>
      <c r="AP928" s="17"/>
      <c r="AQ928" s="17"/>
      <c r="AR928" s="17"/>
      <c r="AS928" s="17"/>
      <c r="AT928" s="17"/>
      <c r="AU928" s="17"/>
      <c r="AV928" s="17"/>
      <c r="AW928" s="17"/>
      <c r="AX928" s="17"/>
      <c r="AY928" s="17"/>
      <c r="AZ928" s="17"/>
      <c r="BA928" s="17"/>
      <c r="BB928" s="17"/>
      <c r="BC928" s="17"/>
      <c r="BD928" s="17"/>
      <c r="BE928" s="17"/>
      <c r="BF928" s="17"/>
      <c r="BG928" s="17"/>
      <c r="BH928" s="17"/>
      <c r="BI928" s="17"/>
      <c r="BJ928" s="17"/>
      <c r="BK928" s="17"/>
      <c r="BL928" s="17"/>
      <c r="BM928" s="17"/>
      <c r="BN928" s="17"/>
      <c r="BO928" s="17"/>
      <c r="BP928" s="17"/>
      <c r="BQ928" s="17"/>
      <c r="BR928" s="17"/>
      <c r="BS928" s="17"/>
      <c r="BT928" s="17"/>
    </row>
    <row r="929" ht="12.0"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c r="AH929" s="17"/>
      <c r="AI929" s="17"/>
      <c r="AJ929" s="17"/>
      <c r="AK929" s="17"/>
      <c r="AL929" s="17"/>
      <c r="AM929" s="17"/>
      <c r="AN929" s="17"/>
      <c r="AO929" s="17"/>
      <c r="AP929" s="17"/>
      <c r="AQ929" s="17"/>
      <c r="AR929" s="17"/>
      <c r="AS929" s="17"/>
      <c r="AT929" s="17"/>
      <c r="AU929" s="17"/>
      <c r="AV929" s="17"/>
      <c r="AW929" s="17"/>
      <c r="AX929" s="17"/>
      <c r="AY929" s="17"/>
      <c r="AZ929" s="17"/>
      <c r="BA929" s="17"/>
      <c r="BB929" s="17"/>
      <c r="BC929" s="17"/>
      <c r="BD929" s="17"/>
      <c r="BE929" s="17"/>
      <c r="BF929" s="17"/>
      <c r="BG929" s="17"/>
      <c r="BH929" s="17"/>
      <c r="BI929" s="17"/>
      <c r="BJ929" s="17"/>
      <c r="BK929" s="17"/>
      <c r="BL929" s="17"/>
      <c r="BM929" s="17"/>
      <c r="BN929" s="17"/>
      <c r="BO929" s="17"/>
      <c r="BP929" s="17"/>
      <c r="BQ929" s="17"/>
      <c r="BR929" s="17"/>
      <c r="BS929" s="17"/>
      <c r="BT929" s="17"/>
    </row>
    <row r="930" ht="12.0"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c r="AH930" s="17"/>
      <c r="AI930" s="17"/>
      <c r="AJ930" s="17"/>
      <c r="AK930" s="17"/>
      <c r="AL930" s="17"/>
      <c r="AM930" s="17"/>
      <c r="AN930" s="17"/>
      <c r="AO930" s="17"/>
      <c r="AP930" s="17"/>
      <c r="AQ930" s="17"/>
      <c r="AR930" s="17"/>
      <c r="AS930" s="17"/>
      <c r="AT930" s="17"/>
      <c r="AU930" s="17"/>
      <c r="AV930" s="17"/>
      <c r="AW930" s="17"/>
      <c r="AX930" s="17"/>
      <c r="AY930" s="17"/>
      <c r="AZ930" s="17"/>
      <c r="BA930" s="17"/>
      <c r="BB930" s="17"/>
      <c r="BC930" s="17"/>
      <c r="BD930" s="17"/>
      <c r="BE930" s="17"/>
      <c r="BF930" s="17"/>
      <c r="BG930" s="17"/>
      <c r="BH930" s="17"/>
      <c r="BI930" s="17"/>
      <c r="BJ930" s="17"/>
      <c r="BK930" s="17"/>
      <c r="BL930" s="17"/>
      <c r="BM930" s="17"/>
      <c r="BN930" s="17"/>
      <c r="BO930" s="17"/>
      <c r="BP930" s="17"/>
      <c r="BQ930" s="17"/>
      <c r="BR930" s="17"/>
      <c r="BS930" s="17"/>
      <c r="BT930" s="17"/>
    </row>
    <row r="931" ht="12.0"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c r="AH931" s="17"/>
      <c r="AI931" s="17"/>
      <c r="AJ931" s="17"/>
      <c r="AK931" s="17"/>
      <c r="AL931" s="17"/>
      <c r="AM931" s="17"/>
      <c r="AN931" s="17"/>
      <c r="AO931" s="17"/>
      <c r="AP931" s="17"/>
      <c r="AQ931" s="17"/>
      <c r="AR931" s="17"/>
      <c r="AS931" s="17"/>
      <c r="AT931" s="17"/>
      <c r="AU931" s="17"/>
      <c r="AV931" s="17"/>
      <c r="AW931" s="17"/>
      <c r="AX931" s="17"/>
      <c r="AY931" s="17"/>
      <c r="AZ931" s="17"/>
      <c r="BA931" s="17"/>
      <c r="BB931" s="17"/>
      <c r="BC931" s="17"/>
      <c r="BD931" s="17"/>
      <c r="BE931" s="17"/>
      <c r="BF931" s="17"/>
      <c r="BG931" s="17"/>
      <c r="BH931" s="17"/>
      <c r="BI931" s="17"/>
      <c r="BJ931" s="17"/>
      <c r="BK931" s="17"/>
      <c r="BL931" s="17"/>
      <c r="BM931" s="17"/>
      <c r="BN931" s="17"/>
      <c r="BO931" s="17"/>
      <c r="BP931" s="17"/>
      <c r="BQ931" s="17"/>
      <c r="BR931" s="17"/>
      <c r="BS931" s="17"/>
      <c r="BT931" s="17"/>
    </row>
    <row r="932" ht="12.0"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c r="AH932" s="17"/>
      <c r="AI932" s="17"/>
      <c r="AJ932" s="17"/>
      <c r="AK932" s="17"/>
      <c r="AL932" s="17"/>
      <c r="AM932" s="17"/>
      <c r="AN932" s="17"/>
      <c r="AO932" s="17"/>
      <c r="AP932" s="17"/>
      <c r="AQ932" s="17"/>
      <c r="AR932" s="17"/>
      <c r="AS932" s="17"/>
      <c r="AT932" s="17"/>
      <c r="AU932" s="17"/>
      <c r="AV932" s="17"/>
      <c r="AW932" s="17"/>
      <c r="AX932" s="17"/>
      <c r="AY932" s="17"/>
      <c r="AZ932" s="17"/>
      <c r="BA932" s="17"/>
      <c r="BB932" s="17"/>
      <c r="BC932" s="17"/>
      <c r="BD932" s="17"/>
      <c r="BE932" s="17"/>
      <c r="BF932" s="17"/>
      <c r="BG932" s="17"/>
      <c r="BH932" s="17"/>
      <c r="BI932" s="17"/>
      <c r="BJ932" s="17"/>
      <c r="BK932" s="17"/>
      <c r="BL932" s="17"/>
      <c r="BM932" s="17"/>
      <c r="BN932" s="17"/>
      <c r="BO932" s="17"/>
      <c r="BP932" s="17"/>
      <c r="BQ932" s="17"/>
      <c r="BR932" s="17"/>
      <c r="BS932" s="17"/>
      <c r="BT932" s="17"/>
    </row>
    <row r="933" ht="12.0"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c r="AH933" s="17"/>
      <c r="AI933" s="17"/>
      <c r="AJ933" s="17"/>
      <c r="AK933" s="17"/>
      <c r="AL933" s="17"/>
      <c r="AM933" s="17"/>
      <c r="AN933" s="17"/>
      <c r="AO933" s="17"/>
      <c r="AP933" s="17"/>
      <c r="AQ933" s="17"/>
      <c r="AR933" s="17"/>
      <c r="AS933" s="17"/>
      <c r="AT933" s="17"/>
      <c r="AU933" s="17"/>
      <c r="AV933" s="17"/>
      <c r="AW933" s="17"/>
      <c r="AX933" s="17"/>
      <c r="AY933" s="17"/>
      <c r="AZ933" s="17"/>
      <c r="BA933" s="17"/>
      <c r="BB933" s="17"/>
      <c r="BC933" s="17"/>
      <c r="BD933" s="17"/>
      <c r="BE933" s="17"/>
      <c r="BF933" s="17"/>
      <c r="BG933" s="17"/>
      <c r="BH933" s="17"/>
      <c r="BI933" s="17"/>
      <c r="BJ933" s="17"/>
      <c r="BK933" s="17"/>
      <c r="BL933" s="17"/>
      <c r="BM933" s="17"/>
      <c r="BN933" s="17"/>
      <c r="BO933" s="17"/>
      <c r="BP933" s="17"/>
      <c r="BQ933" s="17"/>
      <c r="BR933" s="17"/>
      <c r="BS933" s="17"/>
      <c r="BT933" s="17"/>
    </row>
    <row r="934" ht="12.0"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c r="AI934" s="17"/>
      <c r="AJ934" s="17"/>
      <c r="AK934" s="17"/>
      <c r="AL934" s="17"/>
      <c r="AM934" s="17"/>
      <c r="AN934" s="17"/>
      <c r="AO934" s="17"/>
      <c r="AP934" s="17"/>
      <c r="AQ934" s="17"/>
      <c r="AR934" s="17"/>
      <c r="AS934" s="17"/>
      <c r="AT934" s="17"/>
      <c r="AU934" s="17"/>
      <c r="AV934" s="17"/>
      <c r="AW934" s="17"/>
      <c r="AX934" s="17"/>
      <c r="AY934" s="17"/>
      <c r="AZ934" s="17"/>
      <c r="BA934" s="17"/>
      <c r="BB934" s="17"/>
      <c r="BC934" s="17"/>
      <c r="BD934" s="17"/>
      <c r="BE934" s="17"/>
      <c r="BF934" s="17"/>
      <c r="BG934" s="17"/>
      <c r="BH934" s="17"/>
      <c r="BI934" s="17"/>
      <c r="BJ934" s="17"/>
      <c r="BK934" s="17"/>
      <c r="BL934" s="17"/>
      <c r="BM934" s="17"/>
      <c r="BN934" s="17"/>
      <c r="BO934" s="17"/>
      <c r="BP934" s="17"/>
      <c r="BQ934" s="17"/>
      <c r="BR934" s="17"/>
      <c r="BS934" s="17"/>
      <c r="BT934" s="17"/>
    </row>
    <row r="935" ht="12.0"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c r="AH935" s="17"/>
      <c r="AI935" s="17"/>
      <c r="AJ935" s="17"/>
      <c r="AK935" s="17"/>
      <c r="AL935" s="17"/>
      <c r="AM935" s="17"/>
      <c r="AN935" s="17"/>
      <c r="AO935" s="17"/>
      <c r="AP935" s="17"/>
      <c r="AQ935" s="17"/>
      <c r="AR935" s="17"/>
      <c r="AS935" s="17"/>
      <c r="AT935" s="17"/>
      <c r="AU935" s="17"/>
      <c r="AV935" s="17"/>
      <c r="AW935" s="17"/>
      <c r="AX935" s="17"/>
      <c r="AY935" s="17"/>
      <c r="AZ935" s="17"/>
      <c r="BA935" s="17"/>
      <c r="BB935" s="17"/>
      <c r="BC935" s="17"/>
      <c r="BD935" s="17"/>
      <c r="BE935" s="17"/>
      <c r="BF935" s="17"/>
      <c r="BG935" s="17"/>
      <c r="BH935" s="17"/>
      <c r="BI935" s="17"/>
      <c r="BJ935" s="17"/>
      <c r="BK935" s="17"/>
      <c r="BL935" s="17"/>
      <c r="BM935" s="17"/>
      <c r="BN935" s="17"/>
      <c r="BO935" s="17"/>
      <c r="BP935" s="17"/>
      <c r="BQ935" s="17"/>
      <c r="BR935" s="17"/>
      <c r="BS935" s="17"/>
      <c r="BT935" s="17"/>
    </row>
    <row r="936" ht="12.0"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c r="AH936" s="17"/>
      <c r="AI936" s="17"/>
      <c r="AJ936" s="17"/>
      <c r="AK936" s="17"/>
      <c r="AL936" s="17"/>
      <c r="AM936" s="17"/>
      <c r="AN936" s="17"/>
      <c r="AO936" s="17"/>
      <c r="AP936" s="17"/>
      <c r="AQ936" s="17"/>
      <c r="AR936" s="17"/>
      <c r="AS936" s="17"/>
      <c r="AT936" s="17"/>
      <c r="AU936" s="17"/>
      <c r="AV936" s="17"/>
      <c r="AW936" s="17"/>
      <c r="AX936" s="17"/>
      <c r="AY936" s="17"/>
      <c r="AZ936" s="17"/>
      <c r="BA936" s="17"/>
      <c r="BB936" s="17"/>
      <c r="BC936" s="17"/>
      <c r="BD936" s="17"/>
      <c r="BE936" s="17"/>
      <c r="BF936" s="17"/>
      <c r="BG936" s="17"/>
      <c r="BH936" s="17"/>
      <c r="BI936" s="17"/>
      <c r="BJ936" s="17"/>
      <c r="BK936" s="17"/>
      <c r="BL936" s="17"/>
      <c r="BM936" s="17"/>
      <c r="BN936" s="17"/>
      <c r="BO936" s="17"/>
      <c r="BP936" s="17"/>
      <c r="BQ936" s="17"/>
      <c r="BR936" s="17"/>
      <c r="BS936" s="17"/>
      <c r="BT936" s="17"/>
    </row>
    <row r="937" ht="12.0"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c r="AH937" s="17"/>
      <c r="AI937" s="17"/>
      <c r="AJ937" s="17"/>
      <c r="AK937" s="17"/>
      <c r="AL937" s="17"/>
      <c r="AM937" s="17"/>
      <c r="AN937" s="17"/>
      <c r="AO937" s="17"/>
      <c r="AP937" s="17"/>
      <c r="AQ937" s="17"/>
      <c r="AR937" s="17"/>
      <c r="AS937" s="17"/>
      <c r="AT937" s="17"/>
      <c r="AU937" s="17"/>
      <c r="AV937" s="17"/>
      <c r="AW937" s="17"/>
      <c r="AX937" s="17"/>
      <c r="AY937" s="17"/>
      <c r="AZ937" s="17"/>
      <c r="BA937" s="17"/>
      <c r="BB937" s="17"/>
      <c r="BC937" s="17"/>
      <c r="BD937" s="17"/>
      <c r="BE937" s="17"/>
      <c r="BF937" s="17"/>
      <c r="BG937" s="17"/>
      <c r="BH937" s="17"/>
      <c r="BI937" s="17"/>
      <c r="BJ937" s="17"/>
      <c r="BK937" s="17"/>
      <c r="BL937" s="17"/>
      <c r="BM937" s="17"/>
      <c r="BN937" s="17"/>
      <c r="BO937" s="17"/>
      <c r="BP937" s="17"/>
      <c r="BQ937" s="17"/>
      <c r="BR937" s="17"/>
      <c r="BS937" s="17"/>
      <c r="BT937" s="17"/>
    </row>
    <row r="938" ht="12.0"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c r="AH938" s="17"/>
      <c r="AI938" s="17"/>
      <c r="AJ938" s="17"/>
      <c r="AK938" s="17"/>
      <c r="AL938" s="17"/>
      <c r="AM938" s="17"/>
      <c r="AN938" s="17"/>
      <c r="AO938" s="17"/>
      <c r="AP938" s="17"/>
      <c r="AQ938" s="17"/>
      <c r="AR938" s="17"/>
      <c r="AS938" s="17"/>
      <c r="AT938" s="17"/>
      <c r="AU938" s="17"/>
      <c r="AV938" s="17"/>
      <c r="AW938" s="17"/>
      <c r="AX938" s="17"/>
      <c r="AY938" s="17"/>
      <c r="AZ938" s="17"/>
      <c r="BA938" s="17"/>
      <c r="BB938" s="17"/>
      <c r="BC938" s="17"/>
      <c r="BD938" s="17"/>
      <c r="BE938" s="17"/>
      <c r="BF938" s="17"/>
      <c r="BG938" s="17"/>
      <c r="BH938" s="17"/>
      <c r="BI938" s="17"/>
      <c r="BJ938" s="17"/>
      <c r="BK938" s="17"/>
      <c r="BL938" s="17"/>
      <c r="BM938" s="17"/>
      <c r="BN938" s="17"/>
      <c r="BO938" s="17"/>
      <c r="BP938" s="17"/>
      <c r="BQ938" s="17"/>
      <c r="BR938" s="17"/>
      <c r="BS938" s="17"/>
      <c r="BT938" s="17"/>
    </row>
    <row r="939" ht="12.0"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c r="AH939" s="17"/>
      <c r="AI939" s="17"/>
      <c r="AJ939" s="17"/>
      <c r="AK939" s="17"/>
      <c r="AL939" s="17"/>
      <c r="AM939" s="17"/>
      <c r="AN939" s="17"/>
      <c r="AO939" s="17"/>
      <c r="AP939" s="17"/>
      <c r="AQ939" s="17"/>
      <c r="AR939" s="17"/>
      <c r="AS939" s="17"/>
      <c r="AT939" s="17"/>
      <c r="AU939" s="17"/>
      <c r="AV939" s="17"/>
      <c r="AW939" s="17"/>
      <c r="AX939" s="17"/>
      <c r="AY939" s="17"/>
      <c r="AZ939" s="17"/>
      <c r="BA939" s="17"/>
      <c r="BB939" s="17"/>
      <c r="BC939" s="17"/>
      <c r="BD939" s="17"/>
      <c r="BE939" s="17"/>
      <c r="BF939" s="17"/>
      <c r="BG939" s="17"/>
      <c r="BH939" s="17"/>
      <c r="BI939" s="17"/>
      <c r="BJ939" s="17"/>
      <c r="BK939" s="17"/>
      <c r="BL939" s="17"/>
      <c r="BM939" s="17"/>
      <c r="BN939" s="17"/>
      <c r="BO939" s="17"/>
      <c r="BP939" s="17"/>
      <c r="BQ939" s="17"/>
      <c r="BR939" s="17"/>
      <c r="BS939" s="17"/>
      <c r="BT939" s="17"/>
    </row>
    <row r="940" ht="12.0"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c r="AH940" s="17"/>
      <c r="AI940" s="17"/>
      <c r="AJ940" s="17"/>
      <c r="AK940" s="17"/>
      <c r="AL940" s="17"/>
      <c r="AM940" s="17"/>
      <c r="AN940" s="17"/>
      <c r="AO940" s="17"/>
      <c r="AP940" s="17"/>
      <c r="AQ940" s="17"/>
      <c r="AR940" s="17"/>
      <c r="AS940" s="17"/>
      <c r="AT940" s="17"/>
      <c r="AU940" s="17"/>
      <c r="AV940" s="17"/>
      <c r="AW940" s="17"/>
      <c r="AX940" s="17"/>
      <c r="AY940" s="17"/>
      <c r="AZ940" s="17"/>
      <c r="BA940" s="17"/>
      <c r="BB940" s="17"/>
      <c r="BC940" s="17"/>
      <c r="BD940" s="17"/>
      <c r="BE940" s="17"/>
      <c r="BF940" s="17"/>
      <c r="BG940" s="17"/>
      <c r="BH940" s="17"/>
      <c r="BI940" s="17"/>
      <c r="BJ940" s="17"/>
      <c r="BK940" s="17"/>
      <c r="BL940" s="17"/>
      <c r="BM940" s="17"/>
      <c r="BN940" s="17"/>
      <c r="BO940" s="17"/>
      <c r="BP940" s="17"/>
      <c r="BQ940" s="17"/>
      <c r="BR940" s="17"/>
      <c r="BS940" s="17"/>
      <c r="BT940" s="17"/>
    </row>
    <row r="941" ht="12.0"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c r="AP941" s="17"/>
      <c r="AQ941" s="17"/>
      <c r="AR941" s="17"/>
      <c r="AS941" s="17"/>
      <c r="AT941" s="17"/>
      <c r="AU941" s="17"/>
      <c r="AV941" s="17"/>
      <c r="AW941" s="17"/>
      <c r="AX941" s="17"/>
      <c r="AY941" s="17"/>
      <c r="AZ941" s="17"/>
      <c r="BA941" s="17"/>
      <c r="BB941" s="17"/>
      <c r="BC941" s="17"/>
      <c r="BD941" s="17"/>
      <c r="BE941" s="17"/>
      <c r="BF941" s="17"/>
      <c r="BG941" s="17"/>
      <c r="BH941" s="17"/>
      <c r="BI941" s="17"/>
      <c r="BJ941" s="17"/>
      <c r="BK941" s="17"/>
      <c r="BL941" s="17"/>
      <c r="BM941" s="17"/>
      <c r="BN941" s="17"/>
      <c r="BO941" s="17"/>
      <c r="BP941" s="17"/>
      <c r="BQ941" s="17"/>
      <c r="BR941" s="17"/>
      <c r="BS941" s="17"/>
      <c r="BT941" s="17"/>
    </row>
    <row r="942" ht="12.0"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c r="AH942" s="17"/>
      <c r="AI942" s="17"/>
      <c r="AJ942" s="17"/>
      <c r="AK942" s="17"/>
      <c r="AL942" s="17"/>
      <c r="AM942" s="17"/>
      <c r="AN942" s="17"/>
      <c r="AO942" s="17"/>
      <c r="AP942" s="17"/>
      <c r="AQ942" s="17"/>
      <c r="AR942" s="17"/>
      <c r="AS942" s="17"/>
      <c r="AT942" s="17"/>
      <c r="AU942" s="17"/>
      <c r="AV942" s="17"/>
      <c r="AW942" s="17"/>
      <c r="AX942" s="17"/>
      <c r="AY942" s="17"/>
      <c r="AZ942" s="17"/>
      <c r="BA942" s="17"/>
      <c r="BB942" s="17"/>
      <c r="BC942" s="17"/>
      <c r="BD942" s="17"/>
      <c r="BE942" s="17"/>
      <c r="BF942" s="17"/>
      <c r="BG942" s="17"/>
      <c r="BH942" s="17"/>
      <c r="BI942" s="17"/>
      <c r="BJ942" s="17"/>
      <c r="BK942" s="17"/>
      <c r="BL942" s="17"/>
      <c r="BM942" s="17"/>
      <c r="BN942" s="17"/>
      <c r="BO942" s="17"/>
      <c r="BP942" s="17"/>
      <c r="BQ942" s="17"/>
      <c r="BR942" s="17"/>
      <c r="BS942" s="17"/>
      <c r="BT942" s="17"/>
    </row>
    <row r="943" ht="12.0"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c r="AH943" s="17"/>
      <c r="AI943" s="17"/>
      <c r="AJ943" s="17"/>
      <c r="AK943" s="17"/>
      <c r="AL943" s="17"/>
      <c r="AM943" s="17"/>
      <c r="AN943" s="17"/>
      <c r="AO943" s="17"/>
      <c r="AP943" s="17"/>
      <c r="AQ943" s="17"/>
      <c r="AR943" s="17"/>
      <c r="AS943" s="17"/>
      <c r="AT943" s="17"/>
      <c r="AU943" s="17"/>
      <c r="AV943" s="17"/>
      <c r="AW943" s="17"/>
      <c r="AX943" s="17"/>
      <c r="AY943" s="17"/>
      <c r="AZ943" s="17"/>
      <c r="BA943" s="17"/>
      <c r="BB943" s="17"/>
      <c r="BC943" s="17"/>
      <c r="BD943" s="17"/>
      <c r="BE943" s="17"/>
      <c r="BF943" s="17"/>
      <c r="BG943" s="17"/>
      <c r="BH943" s="17"/>
      <c r="BI943" s="17"/>
      <c r="BJ943" s="17"/>
      <c r="BK943" s="17"/>
      <c r="BL943" s="17"/>
      <c r="BM943" s="17"/>
      <c r="BN943" s="17"/>
      <c r="BO943" s="17"/>
      <c r="BP943" s="17"/>
      <c r="BQ943" s="17"/>
      <c r="BR943" s="17"/>
      <c r="BS943" s="17"/>
      <c r="BT943" s="17"/>
    </row>
    <row r="944" ht="12.0"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c r="AH944" s="17"/>
      <c r="AI944" s="17"/>
      <c r="AJ944" s="17"/>
      <c r="AK944" s="17"/>
      <c r="AL944" s="17"/>
      <c r="AM944" s="17"/>
      <c r="AN944" s="17"/>
      <c r="AO944" s="17"/>
      <c r="AP944" s="17"/>
      <c r="AQ944" s="17"/>
      <c r="AR944" s="17"/>
      <c r="AS944" s="17"/>
      <c r="AT944" s="17"/>
      <c r="AU944" s="17"/>
      <c r="AV944" s="17"/>
      <c r="AW944" s="17"/>
      <c r="AX944" s="17"/>
      <c r="AY944" s="17"/>
      <c r="AZ944" s="17"/>
      <c r="BA944" s="17"/>
      <c r="BB944" s="17"/>
      <c r="BC944" s="17"/>
      <c r="BD944" s="17"/>
      <c r="BE944" s="17"/>
      <c r="BF944" s="17"/>
      <c r="BG944" s="17"/>
      <c r="BH944" s="17"/>
      <c r="BI944" s="17"/>
      <c r="BJ944" s="17"/>
      <c r="BK944" s="17"/>
      <c r="BL944" s="17"/>
      <c r="BM944" s="17"/>
      <c r="BN944" s="17"/>
      <c r="BO944" s="17"/>
      <c r="BP944" s="17"/>
      <c r="BQ944" s="17"/>
      <c r="BR944" s="17"/>
      <c r="BS944" s="17"/>
      <c r="BT944" s="17"/>
    </row>
    <row r="945" ht="12.0"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c r="AH945" s="17"/>
      <c r="AI945" s="17"/>
      <c r="AJ945" s="17"/>
      <c r="AK945" s="17"/>
      <c r="AL945" s="17"/>
      <c r="AM945" s="17"/>
      <c r="AN945" s="17"/>
      <c r="AO945" s="17"/>
      <c r="AP945" s="17"/>
      <c r="AQ945" s="17"/>
      <c r="AR945" s="17"/>
      <c r="AS945" s="17"/>
      <c r="AT945" s="17"/>
      <c r="AU945" s="17"/>
      <c r="AV945" s="17"/>
      <c r="AW945" s="17"/>
      <c r="AX945" s="17"/>
      <c r="AY945" s="17"/>
      <c r="AZ945" s="17"/>
      <c r="BA945" s="17"/>
      <c r="BB945" s="17"/>
      <c r="BC945" s="17"/>
      <c r="BD945" s="17"/>
      <c r="BE945" s="17"/>
      <c r="BF945" s="17"/>
      <c r="BG945" s="17"/>
      <c r="BH945" s="17"/>
      <c r="BI945" s="17"/>
      <c r="BJ945" s="17"/>
      <c r="BK945" s="17"/>
      <c r="BL945" s="17"/>
      <c r="BM945" s="17"/>
      <c r="BN945" s="17"/>
      <c r="BO945" s="17"/>
      <c r="BP945" s="17"/>
      <c r="BQ945" s="17"/>
      <c r="BR945" s="17"/>
      <c r="BS945" s="17"/>
      <c r="BT945" s="17"/>
    </row>
    <row r="946" ht="12.0"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c r="AH946" s="17"/>
      <c r="AI946" s="17"/>
      <c r="AJ946" s="17"/>
      <c r="AK946" s="17"/>
      <c r="AL946" s="17"/>
      <c r="AM946" s="17"/>
      <c r="AN946" s="17"/>
      <c r="AO946" s="17"/>
      <c r="AP946" s="17"/>
      <c r="AQ946" s="17"/>
      <c r="AR946" s="17"/>
      <c r="AS946" s="17"/>
      <c r="AT946" s="17"/>
      <c r="AU946" s="17"/>
      <c r="AV946" s="17"/>
      <c r="AW946" s="17"/>
      <c r="AX946" s="17"/>
      <c r="AY946" s="17"/>
      <c r="AZ946" s="17"/>
      <c r="BA946" s="17"/>
      <c r="BB946" s="17"/>
      <c r="BC946" s="17"/>
      <c r="BD946" s="17"/>
      <c r="BE946" s="17"/>
      <c r="BF946" s="17"/>
      <c r="BG946" s="17"/>
      <c r="BH946" s="17"/>
      <c r="BI946" s="17"/>
      <c r="BJ946" s="17"/>
      <c r="BK946" s="17"/>
      <c r="BL946" s="17"/>
      <c r="BM946" s="17"/>
      <c r="BN946" s="17"/>
      <c r="BO946" s="17"/>
      <c r="BP946" s="17"/>
      <c r="BQ946" s="17"/>
      <c r="BR946" s="17"/>
      <c r="BS946" s="17"/>
      <c r="BT946" s="17"/>
    </row>
    <row r="947" ht="12.0"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c r="AH947" s="17"/>
      <c r="AI947" s="17"/>
      <c r="AJ947" s="17"/>
      <c r="AK947" s="17"/>
      <c r="AL947" s="17"/>
      <c r="AM947" s="17"/>
      <c r="AN947" s="17"/>
      <c r="AO947" s="17"/>
      <c r="AP947" s="17"/>
      <c r="AQ947" s="17"/>
      <c r="AR947" s="17"/>
      <c r="AS947" s="17"/>
      <c r="AT947" s="17"/>
      <c r="AU947" s="17"/>
      <c r="AV947" s="17"/>
      <c r="AW947" s="17"/>
      <c r="AX947" s="17"/>
      <c r="AY947" s="17"/>
      <c r="AZ947" s="17"/>
      <c r="BA947" s="17"/>
      <c r="BB947" s="17"/>
      <c r="BC947" s="17"/>
      <c r="BD947" s="17"/>
      <c r="BE947" s="17"/>
      <c r="BF947" s="17"/>
      <c r="BG947" s="17"/>
      <c r="BH947" s="17"/>
      <c r="BI947" s="17"/>
      <c r="BJ947" s="17"/>
      <c r="BK947" s="17"/>
      <c r="BL947" s="17"/>
      <c r="BM947" s="17"/>
      <c r="BN947" s="17"/>
      <c r="BO947" s="17"/>
      <c r="BP947" s="17"/>
      <c r="BQ947" s="17"/>
      <c r="BR947" s="17"/>
      <c r="BS947" s="17"/>
      <c r="BT947" s="17"/>
    </row>
    <row r="948" ht="12.0"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c r="AH948" s="17"/>
      <c r="AI948" s="17"/>
      <c r="AJ948" s="17"/>
      <c r="AK948" s="17"/>
      <c r="AL948" s="17"/>
      <c r="AM948" s="17"/>
      <c r="AN948" s="17"/>
      <c r="AO948" s="17"/>
      <c r="AP948" s="17"/>
      <c r="AQ948" s="17"/>
      <c r="AR948" s="17"/>
      <c r="AS948" s="17"/>
      <c r="AT948" s="17"/>
      <c r="AU948" s="17"/>
      <c r="AV948" s="17"/>
      <c r="AW948" s="17"/>
      <c r="AX948" s="17"/>
      <c r="AY948" s="17"/>
      <c r="AZ948" s="17"/>
      <c r="BA948" s="17"/>
      <c r="BB948" s="17"/>
      <c r="BC948" s="17"/>
      <c r="BD948" s="17"/>
      <c r="BE948" s="17"/>
      <c r="BF948" s="17"/>
      <c r="BG948" s="17"/>
      <c r="BH948" s="17"/>
      <c r="BI948" s="17"/>
      <c r="BJ948" s="17"/>
      <c r="BK948" s="17"/>
      <c r="BL948" s="17"/>
      <c r="BM948" s="17"/>
      <c r="BN948" s="17"/>
      <c r="BO948" s="17"/>
      <c r="BP948" s="17"/>
      <c r="BQ948" s="17"/>
      <c r="BR948" s="17"/>
      <c r="BS948" s="17"/>
      <c r="BT948" s="17"/>
    </row>
    <row r="949" ht="12.0"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c r="AH949" s="17"/>
      <c r="AI949" s="17"/>
      <c r="AJ949" s="17"/>
      <c r="AK949" s="17"/>
      <c r="AL949" s="17"/>
      <c r="AM949" s="17"/>
      <c r="AN949" s="17"/>
      <c r="AO949" s="17"/>
      <c r="AP949" s="17"/>
      <c r="AQ949" s="17"/>
      <c r="AR949" s="17"/>
      <c r="AS949" s="17"/>
      <c r="AT949" s="17"/>
      <c r="AU949" s="17"/>
      <c r="AV949" s="17"/>
      <c r="AW949" s="17"/>
      <c r="AX949" s="17"/>
      <c r="AY949" s="17"/>
      <c r="AZ949" s="17"/>
      <c r="BA949" s="17"/>
      <c r="BB949" s="17"/>
      <c r="BC949" s="17"/>
      <c r="BD949" s="17"/>
      <c r="BE949" s="17"/>
      <c r="BF949" s="17"/>
      <c r="BG949" s="17"/>
      <c r="BH949" s="17"/>
      <c r="BI949" s="17"/>
      <c r="BJ949" s="17"/>
      <c r="BK949" s="17"/>
      <c r="BL949" s="17"/>
      <c r="BM949" s="17"/>
      <c r="BN949" s="17"/>
      <c r="BO949" s="17"/>
      <c r="BP949" s="17"/>
      <c r="BQ949" s="17"/>
      <c r="BR949" s="17"/>
      <c r="BS949" s="17"/>
      <c r="BT949" s="17"/>
    </row>
    <row r="950" ht="12.0"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c r="AH950" s="17"/>
      <c r="AI950" s="17"/>
      <c r="AJ950" s="17"/>
      <c r="AK950" s="17"/>
      <c r="AL950" s="17"/>
      <c r="AM950" s="17"/>
      <c r="AN950" s="17"/>
      <c r="AO950" s="17"/>
      <c r="AP950" s="17"/>
      <c r="AQ950" s="17"/>
      <c r="AR950" s="17"/>
      <c r="AS950" s="17"/>
      <c r="AT950" s="17"/>
      <c r="AU950" s="17"/>
      <c r="AV950" s="17"/>
      <c r="AW950" s="17"/>
      <c r="AX950" s="17"/>
      <c r="AY950" s="17"/>
      <c r="AZ950" s="17"/>
      <c r="BA950" s="17"/>
      <c r="BB950" s="17"/>
      <c r="BC950" s="17"/>
      <c r="BD950" s="17"/>
      <c r="BE950" s="17"/>
      <c r="BF950" s="17"/>
      <c r="BG950" s="17"/>
      <c r="BH950" s="17"/>
      <c r="BI950" s="17"/>
      <c r="BJ950" s="17"/>
      <c r="BK950" s="17"/>
      <c r="BL950" s="17"/>
      <c r="BM950" s="17"/>
      <c r="BN950" s="17"/>
      <c r="BO950" s="17"/>
      <c r="BP950" s="17"/>
      <c r="BQ950" s="17"/>
      <c r="BR950" s="17"/>
      <c r="BS950" s="17"/>
      <c r="BT950" s="17"/>
    </row>
    <row r="951" ht="12.0"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c r="AH951" s="17"/>
      <c r="AI951" s="17"/>
      <c r="AJ951" s="17"/>
      <c r="AK951" s="17"/>
      <c r="AL951" s="17"/>
      <c r="AM951" s="17"/>
      <c r="AN951" s="17"/>
      <c r="AO951" s="17"/>
      <c r="AP951" s="17"/>
      <c r="AQ951" s="17"/>
      <c r="AR951" s="17"/>
      <c r="AS951" s="17"/>
      <c r="AT951" s="17"/>
      <c r="AU951" s="17"/>
      <c r="AV951" s="17"/>
      <c r="AW951" s="17"/>
      <c r="AX951" s="17"/>
      <c r="AY951" s="17"/>
      <c r="AZ951" s="17"/>
      <c r="BA951" s="17"/>
      <c r="BB951" s="17"/>
      <c r="BC951" s="17"/>
      <c r="BD951" s="17"/>
      <c r="BE951" s="17"/>
      <c r="BF951" s="17"/>
      <c r="BG951" s="17"/>
      <c r="BH951" s="17"/>
      <c r="BI951" s="17"/>
      <c r="BJ951" s="17"/>
      <c r="BK951" s="17"/>
      <c r="BL951" s="17"/>
      <c r="BM951" s="17"/>
      <c r="BN951" s="17"/>
      <c r="BO951" s="17"/>
      <c r="BP951" s="17"/>
      <c r="BQ951" s="17"/>
      <c r="BR951" s="17"/>
      <c r="BS951" s="17"/>
      <c r="BT951" s="17"/>
    </row>
    <row r="952" ht="12.0"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c r="AH952" s="17"/>
      <c r="AI952" s="17"/>
      <c r="AJ952" s="17"/>
      <c r="AK952" s="17"/>
      <c r="AL952" s="17"/>
      <c r="AM952" s="17"/>
      <c r="AN952" s="17"/>
      <c r="AO952" s="17"/>
      <c r="AP952" s="17"/>
      <c r="AQ952" s="17"/>
      <c r="AR952" s="17"/>
      <c r="AS952" s="17"/>
      <c r="AT952" s="17"/>
      <c r="AU952" s="17"/>
      <c r="AV952" s="17"/>
      <c r="AW952" s="17"/>
      <c r="AX952" s="17"/>
      <c r="AY952" s="17"/>
      <c r="AZ952" s="17"/>
      <c r="BA952" s="17"/>
      <c r="BB952" s="17"/>
      <c r="BC952" s="17"/>
      <c r="BD952" s="17"/>
      <c r="BE952" s="17"/>
      <c r="BF952" s="17"/>
      <c r="BG952" s="17"/>
      <c r="BH952" s="17"/>
      <c r="BI952" s="17"/>
      <c r="BJ952" s="17"/>
      <c r="BK952" s="17"/>
      <c r="BL952" s="17"/>
      <c r="BM952" s="17"/>
      <c r="BN952" s="17"/>
      <c r="BO952" s="17"/>
      <c r="BP952" s="17"/>
      <c r="BQ952" s="17"/>
      <c r="BR952" s="17"/>
      <c r="BS952" s="17"/>
      <c r="BT952" s="17"/>
    </row>
    <row r="953" ht="12.0"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c r="AH953" s="17"/>
      <c r="AI953" s="17"/>
      <c r="AJ953" s="17"/>
      <c r="AK953" s="17"/>
      <c r="AL953" s="17"/>
      <c r="AM953" s="17"/>
      <c r="AN953" s="17"/>
      <c r="AO953" s="17"/>
      <c r="AP953" s="17"/>
      <c r="AQ953" s="17"/>
      <c r="AR953" s="17"/>
      <c r="AS953" s="17"/>
      <c r="AT953" s="17"/>
      <c r="AU953" s="17"/>
      <c r="AV953" s="17"/>
      <c r="AW953" s="17"/>
      <c r="AX953" s="17"/>
      <c r="AY953" s="17"/>
      <c r="AZ953" s="17"/>
      <c r="BA953" s="17"/>
      <c r="BB953" s="17"/>
      <c r="BC953" s="17"/>
      <c r="BD953" s="17"/>
      <c r="BE953" s="17"/>
      <c r="BF953" s="17"/>
      <c r="BG953" s="17"/>
      <c r="BH953" s="17"/>
      <c r="BI953" s="17"/>
      <c r="BJ953" s="17"/>
      <c r="BK953" s="17"/>
      <c r="BL953" s="17"/>
      <c r="BM953" s="17"/>
      <c r="BN953" s="17"/>
      <c r="BO953" s="17"/>
      <c r="BP953" s="17"/>
      <c r="BQ953" s="17"/>
      <c r="BR953" s="17"/>
      <c r="BS953" s="17"/>
      <c r="BT953" s="17"/>
    </row>
    <row r="954" ht="12.0"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c r="AH954" s="17"/>
      <c r="AI954" s="17"/>
      <c r="AJ954" s="17"/>
      <c r="AK954" s="17"/>
      <c r="AL954" s="17"/>
      <c r="AM954" s="17"/>
      <c r="AN954" s="17"/>
      <c r="AO954" s="17"/>
      <c r="AP954" s="17"/>
      <c r="AQ954" s="17"/>
      <c r="AR954" s="17"/>
      <c r="AS954" s="17"/>
      <c r="AT954" s="17"/>
      <c r="AU954" s="17"/>
      <c r="AV954" s="17"/>
      <c r="AW954" s="17"/>
      <c r="AX954" s="17"/>
      <c r="AY954" s="17"/>
      <c r="AZ954" s="17"/>
      <c r="BA954" s="17"/>
      <c r="BB954" s="17"/>
      <c r="BC954" s="17"/>
      <c r="BD954" s="17"/>
      <c r="BE954" s="17"/>
      <c r="BF954" s="17"/>
      <c r="BG954" s="17"/>
      <c r="BH954" s="17"/>
      <c r="BI954" s="17"/>
      <c r="BJ954" s="17"/>
      <c r="BK954" s="17"/>
      <c r="BL954" s="17"/>
      <c r="BM954" s="17"/>
      <c r="BN954" s="17"/>
      <c r="BO954" s="17"/>
      <c r="BP954" s="17"/>
      <c r="BQ954" s="17"/>
      <c r="BR954" s="17"/>
      <c r="BS954" s="17"/>
      <c r="BT954" s="17"/>
    </row>
    <row r="955" ht="12.0"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c r="AH955" s="17"/>
      <c r="AI955" s="17"/>
      <c r="AJ955" s="17"/>
      <c r="AK955" s="17"/>
      <c r="AL955" s="17"/>
      <c r="AM955" s="17"/>
      <c r="AN955" s="17"/>
      <c r="AO955" s="17"/>
      <c r="AP955" s="17"/>
      <c r="AQ955" s="17"/>
      <c r="AR955" s="17"/>
      <c r="AS955" s="17"/>
      <c r="AT955" s="17"/>
      <c r="AU955" s="17"/>
      <c r="AV955" s="17"/>
      <c r="AW955" s="17"/>
      <c r="AX955" s="17"/>
      <c r="AY955" s="17"/>
      <c r="AZ955" s="17"/>
      <c r="BA955" s="17"/>
      <c r="BB955" s="17"/>
      <c r="BC955" s="17"/>
      <c r="BD955" s="17"/>
      <c r="BE955" s="17"/>
      <c r="BF955" s="17"/>
      <c r="BG955" s="17"/>
      <c r="BH955" s="17"/>
      <c r="BI955" s="17"/>
      <c r="BJ955" s="17"/>
      <c r="BK955" s="17"/>
      <c r="BL955" s="17"/>
      <c r="BM955" s="17"/>
      <c r="BN955" s="17"/>
      <c r="BO955" s="17"/>
      <c r="BP955" s="17"/>
      <c r="BQ955" s="17"/>
      <c r="BR955" s="17"/>
      <c r="BS955" s="17"/>
      <c r="BT955" s="17"/>
    </row>
    <row r="956" ht="12.0"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c r="AH956" s="17"/>
      <c r="AI956" s="17"/>
      <c r="AJ956" s="17"/>
      <c r="AK956" s="17"/>
      <c r="AL956" s="17"/>
      <c r="AM956" s="17"/>
      <c r="AN956" s="17"/>
      <c r="AO956" s="17"/>
      <c r="AP956" s="17"/>
      <c r="AQ956" s="17"/>
      <c r="AR956" s="17"/>
      <c r="AS956" s="17"/>
      <c r="AT956" s="17"/>
      <c r="AU956" s="17"/>
      <c r="AV956" s="17"/>
      <c r="AW956" s="17"/>
      <c r="AX956" s="17"/>
      <c r="AY956" s="17"/>
      <c r="AZ956" s="17"/>
      <c r="BA956" s="17"/>
      <c r="BB956" s="17"/>
      <c r="BC956" s="17"/>
      <c r="BD956" s="17"/>
      <c r="BE956" s="17"/>
      <c r="BF956" s="17"/>
      <c r="BG956" s="17"/>
      <c r="BH956" s="17"/>
      <c r="BI956" s="17"/>
      <c r="BJ956" s="17"/>
      <c r="BK956" s="17"/>
      <c r="BL956" s="17"/>
      <c r="BM956" s="17"/>
      <c r="BN956" s="17"/>
      <c r="BO956" s="17"/>
      <c r="BP956" s="17"/>
      <c r="BQ956" s="17"/>
      <c r="BR956" s="17"/>
      <c r="BS956" s="17"/>
      <c r="BT956" s="17"/>
    </row>
    <row r="957" ht="12.0"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c r="AH957" s="17"/>
      <c r="AI957" s="17"/>
      <c r="AJ957" s="17"/>
      <c r="AK957" s="17"/>
      <c r="AL957" s="17"/>
      <c r="AM957" s="17"/>
      <c r="AN957" s="17"/>
      <c r="AO957" s="17"/>
      <c r="AP957" s="17"/>
      <c r="AQ957" s="17"/>
      <c r="AR957" s="17"/>
      <c r="AS957" s="17"/>
      <c r="AT957" s="17"/>
      <c r="AU957" s="17"/>
      <c r="AV957" s="17"/>
      <c r="AW957" s="17"/>
      <c r="AX957" s="17"/>
      <c r="AY957" s="17"/>
      <c r="AZ957" s="17"/>
      <c r="BA957" s="17"/>
      <c r="BB957" s="17"/>
      <c r="BC957" s="17"/>
      <c r="BD957" s="17"/>
      <c r="BE957" s="17"/>
      <c r="BF957" s="17"/>
      <c r="BG957" s="17"/>
      <c r="BH957" s="17"/>
      <c r="BI957" s="17"/>
      <c r="BJ957" s="17"/>
      <c r="BK957" s="17"/>
      <c r="BL957" s="17"/>
      <c r="BM957" s="17"/>
      <c r="BN957" s="17"/>
      <c r="BO957" s="17"/>
      <c r="BP957" s="17"/>
      <c r="BQ957" s="17"/>
      <c r="BR957" s="17"/>
      <c r="BS957" s="17"/>
      <c r="BT957" s="17"/>
    </row>
    <row r="958" ht="12.0"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c r="AH958" s="17"/>
      <c r="AI958" s="17"/>
      <c r="AJ958" s="17"/>
      <c r="AK958" s="17"/>
      <c r="AL958" s="17"/>
      <c r="AM958" s="17"/>
      <c r="AN958" s="17"/>
      <c r="AO958" s="17"/>
      <c r="AP958" s="17"/>
      <c r="AQ958" s="17"/>
      <c r="AR958" s="17"/>
      <c r="AS958" s="17"/>
      <c r="AT958" s="17"/>
      <c r="AU958" s="17"/>
      <c r="AV958" s="17"/>
      <c r="AW958" s="17"/>
      <c r="AX958" s="17"/>
      <c r="AY958" s="17"/>
      <c r="AZ958" s="17"/>
      <c r="BA958" s="17"/>
      <c r="BB958" s="17"/>
      <c r="BC958" s="17"/>
      <c r="BD958" s="17"/>
      <c r="BE958" s="17"/>
      <c r="BF958" s="17"/>
      <c r="BG958" s="17"/>
      <c r="BH958" s="17"/>
      <c r="BI958" s="17"/>
      <c r="BJ958" s="17"/>
      <c r="BK958" s="17"/>
      <c r="BL958" s="17"/>
      <c r="BM958" s="17"/>
      <c r="BN958" s="17"/>
      <c r="BO958" s="17"/>
      <c r="BP958" s="17"/>
      <c r="BQ958" s="17"/>
      <c r="BR958" s="17"/>
      <c r="BS958" s="17"/>
      <c r="BT958" s="17"/>
    </row>
    <row r="959" ht="12.0"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c r="AP959" s="17"/>
      <c r="AQ959" s="17"/>
      <c r="AR959" s="17"/>
      <c r="AS959" s="17"/>
      <c r="AT959" s="17"/>
      <c r="AU959" s="17"/>
      <c r="AV959" s="17"/>
      <c r="AW959" s="17"/>
      <c r="AX959" s="17"/>
      <c r="AY959" s="17"/>
      <c r="AZ959" s="17"/>
      <c r="BA959" s="17"/>
      <c r="BB959" s="17"/>
      <c r="BC959" s="17"/>
      <c r="BD959" s="17"/>
      <c r="BE959" s="17"/>
      <c r="BF959" s="17"/>
      <c r="BG959" s="17"/>
      <c r="BH959" s="17"/>
      <c r="BI959" s="17"/>
      <c r="BJ959" s="17"/>
      <c r="BK959" s="17"/>
      <c r="BL959" s="17"/>
      <c r="BM959" s="17"/>
      <c r="BN959" s="17"/>
      <c r="BO959" s="17"/>
      <c r="BP959" s="17"/>
      <c r="BQ959" s="17"/>
      <c r="BR959" s="17"/>
      <c r="BS959" s="17"/>
      <c r="BT959" s="17"/>
    </row>
    <row r="960" ht="12.0"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c r="AM960" s="17"/>
      <c r="AN960" s="17"/>
      <c r="AO960" s="17"/>
      <c r="AP960" s="17"/>
      <c r="AQ960" s="17"/>
      <c r="AR960" s="17"/>
      <c r="AS960" s="17"/>
      <c r="AT960" s="17"/>
      <c r="AU960" s="17"/>
      <c r="AV960" s="17"/>
      <c r="AW960" s="17"/>
      <c r="AX960" s="17"/>
      <c r="AY960" s="17"/>
      <c r="AZ960" s="17"/>
      <c r="BA960" s="17"/>
      <c r="BB960" s="17"/>
      <c r="BC960" s="17"/>
      <c r="BD960" s="17"/>
      <c r="BE960" s="17"/>
      <c r="BF960" s="17"/>
      <c r="BG960" s="17"/>
      <c r="BH960" s="17"/>
      <c r="BI960" s="17"/>
      <c r="BJ960" s="17"/>
      <c r="BK960" s="17"/>
      <c r="BL960" s="17"/>
      <c r="BM960" s="17"/>
      <c r="BN960" s="17"/>
      <c r="BO960" s="17"/>
      <c r="BP960" s="17"/>
      <c r="BQ960" s="17"/>
      <c r="BR960" s="17"/>
      <c r="BS960" s="17"/>
      <c r="BT960" s="17"/>
    </row>
    <row r="961" ht="12.0"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c r="AH961" s="17"/>
      <c r="AI961" s="17"/>
      <c r="AJ961" s="17"/>
      <c r="AK961" s="17"/>
      <c r="AL961" s="17"/>
      <c r="AM961" s="17"/>
      <c r="AN961" s="17"/>
      <c r="AO961" s="17"/>
      <c r="AP961" s="17"/>
      <c r="AQ961" s="17"/>
      <c r="AR961" s="17"/>
      <c r="AS961" s="17"/>
      <c r="AT961" s="17"/>
      <c r="AU961" s="17"/>
      <c r="AV961" s="17"/>
      <c r="AW961" s="17"/>
      <c r="AX961" s="17"/>
      <c r="AY961" s="17"/>
      <c r="AZ961" s="17"/>
      <c r="BA961" s="17"/>
      <c r="BB961" s="17"/>
      <c r="BC961" s="17"/>
      <c r="BD961" s="17"/>
      <c r="BE961" s="17"/>
      <c r="BF961" s="17"/>
      <c r="BG961" s="17"/>
      <c r="BH961" s="17"/>
      <c r="BI961" s="17"/>
      <c r="BJ961" s="17"/>
      <c r="BK961" s="17"/>
      <c r="BL961" s="17"/>
      <c r="BM961" s="17"/>
      <c r="BN961" s="17"/>
      <c r="BO961" s="17"/>
      <c r="BP961" s="17"/>
      <c r="BQ961" s="17"/>
      <c r="BR961" s="17"/>
      <c r="BS961" s="17"/>
      <c r="BT961" s="17"/>
    </row>
    <row r="962" ht="12.0"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c r="AH962" s="17"/>
      <c r="AI962" s="17"/>
      <c r="AJ962" s="17"/>
      <c r="AK962" s="17"/>
      <c r="AL962" s="17"/>
      <c r="AM962" s="17"/>
      <c r="AN962" s="17"/>
      <c r="AO962" s="17"/>
      <c r="AP962" s="17"/>
      <c r="AQ962" s="17"/>
      <c r="AR962" s="17"/>
      <c r="AS962" s="17"/>
      <c r="AT962" s="17"/>
      <c r="AU962" s="17"/>
      <c r="AV962" s="17"/>
      <c r="AW962" s="17"/>
      <c r="AX962" s="17"/>
      <c r="AY962" s="17"/>
      <c r="AZ962" s="17"/>
      <c r="BA962" s="17"/>
      <c r="BB962" s="17"/>
      <c r="BC962" s="17"/>
      <c r="BD962" s="17"/>
      <c r="BE962" s="17"/>
      <c r="BF962" s="17"/>
      <c r="BG962" s="17"/>
      <c r="BH962" s="17"/>
      <c r="BI962" s="17"/>
      <c r="BJ962" s="17"/>
      <c r="BK962" s="17"/>
      <c r="BL962" s="17"/>
      <c r="BM962" s="17"/>
      <c r="BN962" s="17"/>
      <c r="BO962" s="17"/>
      <c r="BP962" s="17"/>
      <c r="BQ962" s="17"/>
      <c r="BR962" s="17"/>
      <c r="BS962" s="17"/>
      <c r="BT962" s="17"/>
    </row>
    <row r="963" ht="12.0"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c r="AN963" s="17"/>
      <c r="AO963" s="17"/>
      <c r="AP963" s="17"/>
      <c r="AQ963" s="17"/>
      <c r="AR963" s="17"/>
      <c r="AS963" s="17"/>
      <c r="AT963" s="17"/>
      <c r="AU963" s="17"/>
      <c r="AV963" s="17"/>
      <c r="AW963" s="17"/>
      <c r="AX963" s="17"/>
      <c r="AY963" s="17"/>
      <c r="AZ963" s="17"/>
      <c r="BA963" s="17"/>
      <c r="BB963" s="17"/>
      <c r="BC963" s="17"/>
      <c r="BD963" s="17"/>
      <c r="BE963" s="17"/>
      <c r="BF963" s="17"/>
      <c r="BG963" s="17"/>
      <c r="BH963" s="17"/>
      <c r="BI963" s="17"/>
      <c r="BJ963" s="17"/>
      <c r="BK963" s="17"/>
      <c r="BL963" s="17"/>
      <c r="BM963" s="17"/>
      <c r="BN963" s="17"/>
      <c r="BO963" s="17"/>
      <c r="BP963" s="17"/>
      <c r="BQ963" s="17"/>
      <c r="BR963" s="17"/>
      <c r="BS963" s="17"/>
      <c r="BT963" s="17"/>
    </row>
    <row r="964" ht="12.0"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c r="AH964" s="17"/>
      <c r="AI964" s="17"/>
      <c r="AJ964" s="17"/>
      <c r="AK964" s="17"/>
      <c r="AL964" s="17"/>
      <c r="AM964" s="17"/>
      <c r="AN964" s="17"/>
      <c r="AO964" s="17"/>
      <c r="AP964" s="17"/>
      <c r="AQ964" s="17"/>
      <c r="AR964" s="17"/>
      <c r="AS964" s="17"/>
      <c r="AT964" s="17"/>
      <c r="AU964" s="17"/>
      <c r="AV964" s="17"/>
      <c r="AW964" s="17"/>
      <c r="AX964" s="17"/>
      <c r="AY964" s="17"/>
      <c r="AZ964" s="17"/>
      <c r="BA964" s="17"/>
      <c r="BB964" s="17"/>
      <c r="BC964" s="17"/>
      <c r="BD964" s="17"/>
      <c r="BE964" s="17"/>
      <c r="BF964" s="17"/>
      <c r="BG964" s="17"/>
      <c r="BH964" s="17"/>
      <c r="BI964" s="17"/>
      <c r="BJ964" s="17"/>
      <c r="BK964" s="17"/>
      <c r="BL964" s="17"/>
      <c r="BM964" s="17"/>
      <c r="BN964" s="17"/>
      <c r="BO964" s="17"/>
      <c r="BP964" s="17"/>
      <c r="BQ964" s="17"/>
      <c r="BR964" s="17"/>
      <c r="BS964" s="17"/>
      <c r="BT964" s="17"/>
    </row>
    <row r="965" ht="12.0"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c r="AO965" s="17"/>
      <c r="AP965" s="17"/>
      <c r="AQ965" s="17"/>
      <c r="AR965" s="17"/>
      <c r="AS965" s="17"/>
      <c r="AT965" s="17"/>
      <c r="AU965" s="17"/>
      <c r="AV965" s="17"/>
      <c r="AW965" s="17"/>
      <c r="AX965" s="17"/>
      <c r="AY965" s="17"/>
      <c r="AZ965" s="17"/>
      <c r="BA965" s="17"/>
      <c r="BB965" s="17"/>
      <c r="BC965" s="17"/>
      <c r="BD965" s="17"/>
      <c r="BE965" s="17"/>
      <c r="BF965" s="17"/>
      <c r="BG965" s="17"/>
      <c r="BH965" s="17"/>
      <c r="BI965" s="17"/>
      <c r="BJ965" s="17"/>
      <c r="BK965" s="17"/>
      <c r="BL965" s="17"/>
      <c r="BM965" s="17"/>
      <c r="BN965" s="17"/>
      <c r="BO965" s="17"/>
      <c r="BP965" s="17"/>
      <c r="BQ965" s="17"/>
      <c r="BR965" s="17"/>
      <c r="BS965" s="17"/>
      <c r="BT965" s="17"/>
    </row>
    <row r="966" ht="12.0"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c r="AN966" s="17"/>
      <c r="AO966" s="17"/>
      <c r="AP966" s="17"/>
      <c r="AQ966" s="17"/>
      <c r="AR966" s="17"/>
      <c r="AS966" s="17"/>
      <c r="AT966" s="17"/>
      <c r="AU966" s="17"/>
      <c r="AV966" s="17"/>
      <c r="AW966" s="17"/>
      <c r="AX966" s="17"/>
      <c r="AY966" s="17"/>
      <c r="AZ966" s="17"/>
      <c r="BA966" s="17"/>
      <c r="BB966" s="17"/>
      <c r="BC966" s="17"/>
      <c r="BD966" s="17"/>
      <c r="BE966" s="17"/>
      <c r="BF966" s="17"/>
      <c r="BG966" s="17"/>
      <c r="BH966" s="17"/>
      <c r="BI966" s="17"/>
      <c r="BJ966" s="17"/>
      <c r="BK966" s="17"/>
      <c r="BL966" s="17"/>
      <c r="BM966" s="17"/>
      <c r="BN966" s="17"/>
      <c r="BO966" s="17"/>
      <c r="BP966" s="17"/>
      <c r="BQ966" s="17"/>
      <c r="BR966" s="17"/>
      <c r="BS966" s="17"/>
      <c r="BT966" s="17"/>
    </row>
    <row r="967" ht="12.0"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17"/>
      <c r="AM967" s="17"/>
      <c r="AN967" s="17"/>
      <c r="AO967" s="17"/>
      <c r="AP967" s="17"/>
      <c r="AQ967" s="17"/>
      <c r="AR967" s="17"/>
      <c r="AS967" s="17"/>
      <c r="AT967" s="17"/>
      <c r="AU967" s="17"/>
      <c r="AV967" s="17"/>
      <c r="AW967" s="17"/>
      <c r="AX967" s="17"/>
      <c r="AY967" s="17"/>
      <c r="AZ967" s="17"/>
      <c r="BA967" s="17"/>
      <c r="BB967" s="17"/>
      <c r="BC967" s="17"/>
      <c r="BD967" s="17"/>
      <c r="BE967" s="17"/>
      <c r="BF967" s="17"/>
      <c r="BG967" s="17"/>
      <c r="BH967" s="17"/>
      <c r="BI967" s="17"/>
      <c r="BJ967" s="17"/>
      <c r="BK967" s="17"/>
      <c r="BL967" s="17"/>
      <c r="BM967" s="17"/>
      <c r="BN967" s="17"/>
      <c r="BO967" s="17"/>
      <c r="BP967" s="17"/>
      <c r="BQ967" s="17"/>
      <c r="BR967" s="17"/>
      <c r="BS967" s="17"/>
      <c r="BT967" s="17"/>
    </row>
    <row r="968" ht="12.0"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c r="AO968" s="17"/>
      <c r="AP968" s="17"/>
      <c r="AQ968" s="17"/>
      <c r="AR968" s="17"/>
      <c r="AS968" s="17"/>
      <c r="AT968" s="17"/>
      <c r="AU968" s="17"/>
      <c r="AV968" s="17"/>
      <c r="AW968" s="17"/>
      <c r="AX968" s="17"/>
      <c r="AY968" s="17"/>
      <c r="AZ968" s="17"/>
      <c r="BA968" s="17"/>
      <c r="BB968" s="17"/>
      <c r="BC968" s="17"/>
      <c r="BD968" s="17"/>
      <c r="BE968" s="17"/>
      <c r="BF968" s="17"/>
      <c r="BG968" s="17"/>
      <c r="BH968" s="17"/>
      <c r="BI968" s="17"/>
      <c r="BJ968" s="17"/>
      <c r="BK968" s="17"/>
      <c r="BL968" s="17"/>
      <c r="BM968" s="17"/>
      <c r="BN968" s="17"/>
      <c r="BO968" s="17"/>
      <c r="BP968" s="17"/>
      <c r="BQ968" s="17"/>
      <c r="BR968" s="17"/>
      <c r="BS968" s="17"/>
      <c r="BT968" s="17"/>
    </row>
    <row r="969" ht="12.0"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c r="BL969" s="17"/>
      <c r="BM969" s="17"/>
      <c r="BN969" s="17"/>
      <c r="BO969" s="17"/>
      <c r="BP969" s="17"/>
      <c r="BQ969" s="17"/>
      <c r="BR969" s="17"/>
      <c r="BS969" s="17"/>
      <c r="BT969" s="17"/>
    </row>
    <row r="970" ht="12.0"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7"/>
      <c r="BN970" s="17"/>
      <c r="BO970" s="17"/>
      <c r="BP970" s="17"/>
      <c r="BQ970" s="17"/>
      <c r="BR970" s="17"/>
      <c r="BS970" s="17"/>
      <c r="BT970" s="17"/>
    </row>
    <row r="971" ht="12.0"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c r="BL971" s="17"/>
      <c r="BM971" s="17"/>
      <c r="BN971" s="17"/>
      <c r="BO971" s="17"/>
      <c r="BP971" s="17"/>
      <c r="BQ971" s="17"/>
      <c r="BR971" s="17"/>
      <c r="BS971" s="17"/>
      <c r="BT971" s="17"/>
    </row>
    <row r="972" ht="12.0"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c r="AP972" s="17"/>
      <c r="AQ972" s="17"/>
      <c r="AR972" s="17"/>
      <c r="AS972" s="17"/>
      <c r="AT972" s="17"/>
      <c r="AU972" s="17"/>
      <c r="AV972" s="17"/>
      <c r="AW972" s="17"/>
      <c r="AX972" s="17"/>
      <c r="AY972" s="17"/>
      <c r="AZ972" s="17"/>
      <c r="BA972" s="17"/>
      <c r="BB972" s="17"/>
      <c r="BC972" s="17"/>
      <c r="BD972" s="17"/>
      <c r="BE972" s="17"/>
      <c r="BF972" s="17"/>
      <c r="BG972" s="17"/>
      <c r="BH972" s="17"/>
      <c r="BI972" s="17"/>
      <c r="BJ972" s="17"/>
      <c r="BK972" s="17"/>
      <c r="BL972" s="17"/>
      <c r="BM972" s="17"/>
      <c r="BN972" s="17"/>
      <c r="BO972" s="17"/>
      <c r="BP972" s="17"/>
      <c r="BQ972" s="17"/>
      <c r="BR972" s="17"/>
      <c r="BS972" s="17"/>
      <c r="BT972" s="17"/>
    </row>
    <row r="973" ht="12.0"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c r="AO973" s="17"/>
      <c r="AP973" s="17"/>
      <c r="AQ973" s="17"/>
      <c r="AR973" s="17"/>
      <c r="AS973" s="17"/>
      <c r="AT973" s="17"/>
      <c r="AU973" s="17"/>
      <c r="AV973" s="17"/>
      <c r="AW973" s="17"/>
      <c r="AX973" s="17"/>
      <c r="AY973" s="17"/>
      <c r="AZ973" s="17"/>
      <c r="BA973" s="17"/>
      <c r="BB973" s="17"/>
      <c r="BC973" s="17"/>
      <c r="BD973" s="17"/>
      <c r="BE973" s="17"/>
      <c r="BF973" s="17"/>
      <c r="BG973" s="17"/>
      <c r="BH973" s="17"/>
      <c r="BI973" s="17"/>
      <c r="BJ973" s="17"/>
      <c r="BK973" s="17"/>
      <c r="BL973" s="17"/>
      <c r="BM973" s="17"/>
      <c r="BN973" s="17"/>
      <c r="BO973" s="17"/>
      <c r="BP973" s="17"/>
      <c r="BQ973" s="17"/>
      <c r="BR973" s="17"/>
      <c r="BS973" s="17"/>
      <c r="BT973" s="17"/>
    </row>
    <row r="974" ht="12.0"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c r="AO974" s="17"/>
      <c r="AP974" s="17"/>
      <c r="AQ974" s="17"/>
      <c r="AR974" s="17"/>
      <c r="AS974" s="17"/>
      <c r="AT974" s="17"/>
      <c r="AU974" s="17"/>
      <c r="AV974" s="17"/>
      <c r="AW974" s="17"/>
      <c r="AX974" s="17"/>
      <c r="AY974" s="17"/>
      <c r="AZ974" s="17"/>
      <c r="BA974" s="17"/>
      <c r="BB974" s="17"/>
      <c r="BC974" s="17"/>
      <c r="BD974" s="17"/>
      <c r="BE974" s="17"/>
      <c r="BF974" s="17"/>
      <c r="BG974" s="17"/>
      <c r="BH974" s="17"/>
      <c r="BI974" s="17"/>
      <c r="BJ974" s="17"/>
      <c r="BK974" s="17"/>
      <c r="BL974" s="17"/>
      <c r="BM974" s="17"/>
      <c r="BN974" s="17"/>
      <c r="BO974" s="17"/>
      <c r="BP974" s="17"/>
      <c r="BQ974" s="17"/>
      <c r="BR974" s="17"/>
      <c r="BS974" s="17"/>
      <c r="BT974" s="17"/>
    </row>
    <row r="975" ht="12.0"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c r="AF975" s="17"/>
      <c r="AG975" s="17"/>
      <c r="AH975" s="17"/>
      <c r="AI975" s="17"/>
      <c r="AJ975" s="17"/>
      <c r="AK975" s="17"/>
      <c r="AL975" s="17"/>
      <c r="AM975" s="17"/>
      <c r="AN975" s="17"/>
      <c r="AO975" s="17"/>
      <c r="AP975" s="17"/>
      <c r="AQ975" s="17"/>
      <c r="AR975" s="17"/>
      <c r="AS975" s="17"/>
      <c r="AT975" s="17"/>
      <c r="AU975" s="17"/>
      <c r="AV975" s="17"/>
      <c r="AW975" s="17"/>
      <c r="AX975" s="17"/>
      <c r="AY975" s="17"/>
      <c r="AZ975" s="17"/>
      <c r="BA975" s="17"/>
      <c r="BB975" s="17"/>
      <c r="BC975" s="17"/>
      <c r="BD975" s="17"/>
      <c r="BE975" s="17"/>
      <c r="BF975" s="17"/>
      <c r="BG975" s="17"/>
      <c r="BH975" s="17"/>
      <c r="BI975" s="17"/>
      <c r="BJ975" s="17"/>
      <c r="BK975" s="17"/>
      <c r="BL975" s="17"/>
      <c r="BM975" s="17"/>
      <c r="BN975" s="17"/>
      <c r="BO975" s="17"/>
      <c r="BP975" s="17"/>
      <c r="BQ975" s="17"/>
      <c r="BR975" s="17"/>
      <c r="BS975" s="17"/>
      <c r="BT975" s="17"/>
    </row>
    <row r="976" ht="12.0"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c r="AO976" s="17"/>
      <c r="AP976" s="17"/>
      <c r="AQ976" s="17"/>
      <c r="AR976" s="17"/>
      <c r="AS976" s="17"/>
      <c r="AT976" s="17"/>
      <c r="AU976" s="17"/>
      <c r="AV976" s="17"/>
      <c r="AW976" s="17"/>
      <c r="AX976" s="17"/>
      <c r="AY976" s="17"/>
      <c r="AZ976" s="17"/>
      <c r="BA976" s="17"/>
      <c r="BB976" s="17"/>
      <c r="BC976" s="17"/>
      <c r="BD976" s="17"/>
      <c r="BE976" s="17"/>
      <c r="BF976" s="17"/>
      <c r="BG976" s="17"/>
      <c r="BH976" s="17"/>
      <c r="BI976" s="17"/>
      <c r="BJ976" s="17"/>
      <c r="BK976" s="17"/>
      <c r="BL976" s="17"/>
      <c r="BM976" s="17"/>
      <c r="BN976" s="17"/>
      <c r="BO976" s="17"/>
      <c r="BP976" s="17"/>
      <c r="BQ976" s="17"/>
      <c r="BR976" s="17"/>
      <c r="BS976" s="17"/>
      <c r="BT976" s="17"/>
    </row>
    <row r="977" ht="12.0"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c r="AO977" s="17"/>
      <c r="AP977" s="17"/>
      <c r="AQ977" s="17"/>
      <c r="AR977" s="17"/>
      <c r="AS977" s="17"/>
      <c r="AT977" s="17"/>
      <c r="AU977" s="17"/>
      <c r="AV977" s="17"/>
      <c r="AW977" s="17"/>
      <c r="AX977" s="17"/>
      <c r="AY977" s="17"/>
      <c r="AZ977" s="17"/>
      <c r="BA977" s="17"/>
      <c r="BB977" s="17"/>
      <c r="BC977" s="17"/>
      <c r="BD977" s="17"/>
      <c r="BE977" s="17"/>
      <c r="BF977" s="17"/>
      <c r="BG977" s="17"/>
      <c r="BH977" s="17"/>
      <c r="BI977" s="17"/>
      <c r="BJ977" s="17"/>
      <c r="BK977" s="17"/>
      <c r="BL977" s="17"/>
      <c r="BM977" s="17"/>
      <c r="BN977" s="17"/>
      <c r="BO977" s="17"/>
      <c r="BP977" s="17"/>
      <c r="BQ977" s="17"/>
      <c r="BR977" s="17"/>
      <c r="BS977" s="17"/>
      <c r="BT977" s="17"/>
    </row>
    <row r="978" ht="12.0"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c r="AQ978" s="17"/>
      <c r="AR978" s="17"/>
      <c r="AS978" s="17"/>
      <c r="AT978" s="17"/>
      <c r="AU978" s="17"/>
      <c r="AV978" s="17"/>
      <c r="AW978" s="17"/>
      <c r="AX978" s="17"/>
      <c r="AY978" s="17"/>
      <c r="AZ978" s="17"/>
      <c r="BA978" s="17"/>
      <c r="BB978" s="17"/>
      <c r="BC978" s="17"/>
      <c r="BD978" s="17"/>
      <c r="BE978" s="17"/>
      <c r="BF978" s="17"/>
      <c r="BG978" s="17"/>
      <c r="BH978" s="17"/>
      <c r="BI978" s="17"/>
      <c r="BJ978" s="17"/>
      <c r="BK978" s="17"/>
      <c r="BL978" s="17"/>
      <c r="BM978" s="17"/>
      <c r="BN978" s="17"/>
      <c r="BO978" s="17"/>
      <c r="BP978" s="17"/>
      <c r="BQ978" s="17"/>
      <c r="BR978" s="17"/>
      <c r="BS978" s="17"/>
      <c r="BT978" s="17"/>
    </row>
    <row r="979" ht="12.0"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c r="AO979" s="17"/>
      <c r="AP979" s="17"/>
      <c r="AQ979" s="17"/>
      <c r="AR979" s="17"/>
      <c r="AS979" s="17"/>
      <c r="AT979" s="17"/>
      <c r="AU979" s="17"/>
      <c r="AV979" s="17"/>
      <c r="AW979" s="17"/>
      <c r="AX979" s="17"/>
      <c r="AY979" s="17"/>
      <c r="AZ979" s="17"/>
      <c r="BA979" s="17"/>
      <c r="BB979" s="17"/>
      <c r="BC979" s="17"/>
      <c r="BD979" s="17"/>
      <c r="BE979" s="17"/>
      <c r="BF979" s="17"/>
      <c r="BG979" s="17"/>
      <c r="BH979" s="17"/>
      <c r="BI979" s="17"/>
      <c r="BJ979" s="17"/>
      <c r="BK979" s="17"/>
      <c r="BL979" s="17"/>
      <c r="BM979" s="17"/>
      <c r="BN979" s="17"/>
      <c r="BO979" s="17"/>
      <c r="BP979" s="17"/>
      <c r="BQ979" s="17"/>
      <c r="BR979" s="17"/>
      <c r="BS979" s="17"/>
      <c r="BT979" s="17"/>
    </row>
    <row r="980" ht="12.0"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c r="BL980" s="17"/>
      <c r="BM980" s="17"/>
      <c r="BN980" s="17"/>
      <c r="BO980" s="17"/>
      <c r="BP980" s="17"/>
      <c r="BQ980" s="17"/>
      <c r="BR980" s="17"/>
      <c r="BS980" s="17"/>
      <c r="BT980" s="17"/>
    </row>
    <row r="981" ht="12.0"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c r="AO981" s="17"/>
      <c r="AP981" s="17"/>
      <c r="AQ981" s="17"/>
      <c r="AR981" s="17"/>
      <c r="AS981" s="17"/>
      <c r="AT981" s="17"/>
      <c r="AU981" s="17"/>
      <c r="AV981" s="17"/>
      <c r="AW981" s="17"/>
      <c r="AX981" s="17"/>
      <c r="AY981" s="17"/>
      <c r="AZ981" s="17"/>
      <c r="BA981" s="17"/>
      <c r="BB981" s="17"/>
      <c r="BC981" s="17"/>
      <c r="BD981" s="17"/>
      <c r="BE981" s="17"/>
      <c r="BF981" s="17"/>
      <c r="BG981" s="17"/>
      <c r="BH981" s="17"/>
      <c r="BI981" s="17"/>
      <c r="BJ981" s="17"/>
      <c r="BK981" s="17"/>
      <c r="BL981" s="17"/>
      <c r="BM981" s="17"/>
      <c r="BN981" s="17"/>
      <c r="BO981" s="17"/>
      <c r="BP981" s="17"/>
      <c r="BQ981" s="17"/>
      <c r="BR981" s="17"/>
      <c r="BS981" s="17"/>
      <c r="BT981" s="17"/>
    </row>
    <row r="982" ht="12.0"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c r="BL982" s="17"/>
      <c r="BM982" s="17"/>
      <c r="BN982" s="17"/>
      <c r="BO982" s="17"/>
      <c r="BP982" s="17"/>
      <c r="BQ982" s="17"/>
      <c r="BR982" s="17"/>
      <c r="BS982" s="17"/>
      <c r="BT982" s="17"/>
    </row>
    <row r="983" ht="12.0"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c r="AP983" s="17"/>
      <c r="AQ983" s="17"/>
      <c r="AR983" s="17"/>
      <c r="AS983" s="17"/>
      <c r="AT983" s="17"/>
      <c r="AU983" s="17"/>
      <c r="AV983" s="17"/>
      <c r="AW983" s="17"/>
      <c r="AX983" s="17"/>
      <c r="AY983" s="17"/>
      <c r="AZ983" s="17"/>
      <c r="BA983" s="17"/>
      <c r="BB983" s="17"/>
      <c r="BC983" s="17"/>
      <c r="BD983" s="17"/>
      <c r="BE983" s="17"/>
      <c r="BF983" s="17"/>
      <c r="BG983" s="17"/>
      <c r="BH983" s="17"/>
      <c r="BI983" s="17"/>
      <c r="BJ983" s="17"/>
      <c r="BK983" s="17"/>
      <c r="BL983" s="17"/>
      <c r="BM983" s="17"/>
      <c r="BN983" s="17"/>
      <c r="BO983" s="17"/>
      <c r="BP983" s="17"/>
      <c r="BQ983" s="17"/>
      <c r="BR983" s="17"/>
      <c r="BS983" s="17"/>
      <c r="BT983" s="17"/>
    </row>
    <row r="984" ht="12.0"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c r="AQ984" s="17"/>
      <c r="AR984" s="17"/>
      <c r="AS984" s="17"/>
      <c r="AT984" s="17"/>
      <c r="AU984" s="17"/>
      <c r="AV984" s="17"/>
      <c r="AW984" s="17"/>
      <c r="AX984" s="17"/>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row>
    <row r="985" ht="12.0"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c r="AF985" s="17"/>
      <c r="AG985" s="17"/>
      <c r="AH985" s="17"/>
      <c r="AI985" s="17"/>
      <c r="AJ985" s="17"/>
      <c r="AK985" s="17"/>
      <c r="AL985" s="17"/>
      <c r="AM985" s="17"/>
      <c r="AN985" s="17"/>
      <c r="AO985" s="17"/>
      <c r="AP985" s="17"/>
      <c r="AQ985" s="17"/>
      <c r="AR985" s="17"/>
      <c r="AS985" s="17"/>
      <c r="AT985" s="17"/>
      <c r="AU985" s="17"/>
      <c r="AV985" s="17"/>
      <c r="AW985" s="17"/>
      <c r="AX985" s="17"/>
      <c r="AY985" s="17"/>
      <c r="AZ985" s="17"/>
      <c r="BA985" s="17"/>
      <c r="BB985" s="17"/>
      <c r="BC985" s="17"/>
      <c r="BD985" s="17"/>
      <c r="BE985" s="17"/>
      <c r="BF985" s="17"/>
      <c r="BG985" s="17"/>
      <c r="BH985" s="17"/>
      <c r="BI985" s="17"/>
      <c r="BJ985" s="17"/>
      <c r="BK985" s="17"/>
      <c r="BL985" s="17"/>
      <c r="BM985" s="17"/>
      <c r="BN985" s="17"/>
      <c r="BO985" s="17"/>
      <c r="BP985" s="17"/>
      <c r="BQ985" s="17"/>
      <c r="BR985" s="17"/>
      <c r="BS985" s="17"/>
      <c r="BT985" s="17"/>
    </row>
    <row r="986" ht="12.0"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c r="AO986" s="17"/>
      <c r="AP986" s="17"/>
      <c r="AQ986" s="17"/>
      <c r="AR986" s="17"/>
      <c r="AS986" s="17"/>
      <c r="AT986" s="17"/>
      <c r="AU986" s="17"/>
      <c r="AV986" s="17"/>
      <c r="AW986" s="17"/>
      <c r="AX986" s="17"/>
      <c r="AY986" s="17"/>
      <c r="AZ986" s="17"/>
      <c r="BA986" s="17"/>
      <c r="BB986" s="17"/>
      <c r="BC986" s="17"/>
      <c r="BD986" s="17"/>
      <c r="BE986" s="17"/>
      <c r="BF986" s="17"/>
      <c r="BG986" s="17"/>
      <c r="BH986" s="17"/>
      <c r="BI986" s="17"/>
      <c r="BJ986" s="17"/>
      <c r="BK986" s="17"/>
      <c r="BL986" s="17"/>
      <c r="BM986" s="17"/>
      <c r="BN986" s="17"/>
      <c r="BO986" s="17"/>
      <c r="BP986" s="17"/>
      <c r="BQ986" s="17"/>
      <c r="BR986" s="17"/>
      <c r="BS986" s="17"/>
      <c r="BT986" s="17"/>
    </row>
    <row r="987" ht="12.0"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c r="AF987" s="17"/>
      <c r="AG987" s="17"/>
      <c r="AH987" s="17"/>
      <c r="AI987" s="17"/>
      <c r="AJ987" s="17"/>
      <c r="AK987" s="17"/>
      <c r="AL987" s="17"/>
      <c r="AM987" s="17"/>
      <c r="AN987" s="17"/>
      <c r="AO987" s="17"/>
      <c r="AP987" s="17"/>
      <c r="AQ987" s="17"/>
      <c r="AR987" s="17"/>
      <c r="AS987" s="17"/>
      <c r="AT987" s="17"/>
      <c r="AU987" s="17"/>
      <c r="AV987" s="17"/>
      <c r="AW987" s="17"/>
      <c r="AX987" s="17"/>
      <c r="AY987" s="17"/>
      <c r="AZ987" s="17"/>
      <c r="BA987" s="17"/>
      <c r="BB987" s="17"/>
      <c r="BC987" s="17"/>
      <c r="BD987" s="17"/>
      <c r="BE987" s="17"/>
      <c r="BF987" s="17"/>
      <c r="BG987" s="17"/>
      <c r="BH987" s="17"/>
      <c r="BI987" s="17"/>
      <c r="BJ987" s="17"/>
      <c r="BK987" s="17"/>
      <c r="BL987" s="17"/>
      <c r="BM987" s="17"/>
      <c r="BN987" s="17"/>
      <c r="BO987" s="17"/>
      <c r="BP987" s="17"/>
      <c r="BQ987" s="17"/>
      <c r="BR987" s="17"/>
      <c r="BS987" s="17"/>
      <c r="BT987" s="17"/>
    </row>
    <row r="988" ht="12.0"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c r="AO988" s="17"/>
      <c r="AP988" s="17"/>
      <c r="AQ988" s="17"/>
      <c r="AR988" s="17"/>
      <c r="AS988" s="17"/>
      <c r="AT988" s="17"/>
      <c r="AU988" s="17"/>
      <c r="AV988" s="17"/>
      <c r="AW988" s="17"/>
      <c r="AX988" s="17"/>
      <c r="AY988" s="17"/>
      <c r="AZ988" s="17"/>
      <c r="BA988" s="17"/>
      <c r="BB988" s="17"/>
      <c r="BC988" s="17"/>
      <c r="BD988" s="17"/>
      <c r="BE988" s="17"/>
      <c r="BF988" s="17"/>
      <c r="BG988" s="17"/>
      <c r="BH988" s="17"/>
      <c r="BI988" s="17"/>
      <c r="BJ988" s="17"/>
      <c r="BK988" s="17"/>
      <c r="BL988" s="17"/>
      <c r="BM988" s="17"/>
      <c r="BN988" s="17"/>
      <c r="BO988" s="17"/>
      <c r="BP988" s="17"/>
      <c r="BQ988" s="17"/>
      <c r="BR988" s="17"/>
      <c r="BS988" s="17"/>
      <c r="BT988" s="17"/>
    </row>
    <row r="989" ht="12.0"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c r="AF989" s="17"/>
      <c r="AG989" s="17"/>
      <c r="AH989" s="17"/>
      <c r="AI989" s="17"/>
      <c r="AJ989" s="17"/>
      <c r="AK989" s="17"/>
      <c r="AL989" s="17"/>
      <c r="AM989" s="17"/>
      <c r="AN989" s="17"/>
      <c r="AO989" s="17"/>
      <c r="AP989" s="17"/>
      <c r="AQ989" s="17"/>
      <c r="AR989" s="17"/>
      <c r="AS989" s="17"/>
      <c r="AT989" s="17"/>
      <c r="AU989" s="17"/>
      <c r="AV989" s="17"/>
      <c r="AW989" s="17"/>
      <c r="AX989" s="17"/>
      <c r="AY989" s="17"/>
      <c r="AZ989" s="17"/>
      <c r="BA989" s="17"/>
      <c r="BB989" s="17"/>
      <c r="BC989" s="17"/>
      <c r="BD989" s="17"/>
      <c r="BE989" s="17"/>
      <c r="BF989" s="17"/>
      <c r="BG989" s="17"/>
      <c r="BH989" s="17"/>
      <c r="BI989" s="17"/>
      <c r="BJ989" s="17"/>
      <c r="BK989" s="17"/>
      <c r="BL989" s="17"/>
      <c r="BM989" s="17"/>
      <c r="BN989" s="17"/>
      <c r="BO989" s="17"/>
      <c r="BP989" s="17"/>
      <c r="BQ989" s="17"/>
      <c r="BR989" s="17"/>
      <c r="BS989" s="17"/>
      <c r="BT989" s="17"/>
    </row>
    <row r="990" ht="12.0"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c r="AO990" s="17"/>
      <c r="AP990" s="17"/>
      <c r="AQ990" s="17"/>
      <c r="AR990" s="17"/>
      <c r="AS990" s="17"/>
      <c r="AT990" s="17"/>
      <c r="AU990" s="17"/>
      <c r="AV990" s="17"/>
      <c r="AW990" s="17"/>
      <c r="AX990" s="17"/>
      <c r="AY990" s="17"/>
      <c r="AZ990" s="17"/>
      <c r="BA990" s="17"/>
      <c r="BB990" s="17"/>
      <c r="BC990" s="17"/>
      <c r="BD990" s="17"/>
      <c r="BE990" s="17"/>
      <c r="BF990" s="17"/>
      <c r="BG990" s="17"/>
      <c r="BH990" s="17"/>
      <c r="BI990" s="17"/>
      <c r="BJ990" s="17"/>
      <c r="BK990" s="17"/>
      <c r="BL990" s="17"/>
      <c r="BM990" s="17"/>
      <c r="BN990" s="17"/>
      <c r="BO990" s="17"/>
      <c r="BP990" s="17"/>
      <c r="BQ990" s="17"/>
      <c r="BR990" s="17"/>
      <c r="BS990" s="17"/>
      <c r="BT990" s="17"/>
    </row>
    <row r="991" ht="12.0"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c r="AF991" s="17"/>
      <c r="AG991" s="17"/>
      <c r="AH991" s="17"/>
      <c r="AI991" s="17"/>
      <c r="AJ991" s="17"/>
      <c r="AK991" s="17"/>
      <c r="AL991" s="17"/>
      <c r="AM991" s="17"/>
      <c r="AN991" s="17"/>
      <c r="AO991" s="17"/>
      <c r="AP991" s="17"/>
      <c r="AQ991" s="17"/>
      <c r="AR991" s="17"/>
      <c r="AS991" s="17"/>
      <c r="AT991" s="17"/>
      <c r="AU991" s="17"/>
      <c r="AV991" s="17"/>
      <c r="AW991" s="17"/>
      <c r="AX991" s="17"/>
      <c r="AY991" s="17"/>
      <c r="AZ991" s="17"/>
      <c r="BA991" s="17"/>
      <c r="BB991" s="17"/>
      <c r="BC991" s="17"/>
      <c r="BD991" s="17"/>
      <c r="BE991" s="17"/>
      <c r="BF991" s="17"/>
      <c r="BG991" s="17"/>
      <c r="BH991" s="17"/>
      <c r="BI991" s="17"/>
      <c r="BJ991" s="17"/>
      <c r="BK991" s="17"/>
      <c r="BL991" s="17"/>
      <c r="BM991" s="17"/>
      <c r="BN991" s="17"/>
      <c r="BO991" s="17"/>
      <c r="BP991" s="17"/>
      <c r="BQ991" s="17"/>
      <c r="BR991" s="17"/>
      <c r="BS991" s="17"/>
      <c r="BT991" s="17"/>
    </row>
    <row r="992" ht="12.0"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c r="AP992" s="17"/>
      <c r="AQ992" s="17"/>
      <c r="AR992" s="17"/>
      <c r="AS992" s="17"/>
      <c r="AT992" s="17"/>
      <c r="AU992" s="17"/>
      <c r="AV992" s="17"/>
      <c r="AW992" s="17"/>
      <c r="AX992" s="17"/>
      <c r="AY992" s="17"/>
      <c r="AZ992" s="17"/>
      <c r="BA992" s="17"/>
      <c r="BB992" s="17"/>
      <c r="BC992" s="17"/>
      <c r="BD992" s="17"/>
      <c r="BE992" s="17"/>
      <c r="BF992" s="17"/>
      <c r="BG992" s="17"/>
      <c r="BH992" s="17"/>
      <c r="BI992" s="17"/>
      <c r="BJ992" s="17"/>
      <c r="BK992" s="17"/>
      <c r="BL992" s="17"/>
      <c r="BM992" s="17"/>
      <c r="BN992" s="17"/>
      <c r="BO992" s="17"/>
      <c r="BP992" s="17"/>
      <c r="BQ992" s="17"/>
      <c r="BR992" s="17"/>
      <c r="BS992" s="17"/>
      <c r="BT992" s="17"/>
    </row>
    <row r="993" ht="12.0"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c r="AP993" s="17"/>
      <c r="AQ993" s="17"/>
      <c r="AR993" s="17"/>
      <c r="AS993" s="17"/>
      <c r="AT993" s="17"/>
      <c r="AU993" s="17"/>
      <c r="AV993" s="17"/>
      <c r="AW993" s="17"/>
      <c r="AX993" s="17"/>
      <c r="AY993" s="17"/>
      <c r="AZ993" s="17"/>
      <c r="BA993" s="17"/>
      <c r="BB993" s="17"/>
      <c r="BC993" s="17"/>
      <c r="BD993" s="17"/>
      <c r="BE993" s="17"/>
      <c r="BF993" s="17"/>
      <c r="BG993" s="17"/>
      <c r="BH993" s="17"/>
      <c r="BI993" s="17"/>
      <c r="BJ993" s="17"/>
      <c r="BK993" s="17"/>
      <c r="BL993" s="17"/>
      <c r="BM993" s="17"/>
      <c r="BN993" s="17"/>
      <c r="BO993" s="17"/>
      <c r="BP993" s="17"/>
      <c r="BQ993" s="17"/>
      <c r="BR993" s="17"/>
      <c r="BS993" s="17"/>
      <c r="BT993" s="17"/>
    </row>
    <row r="994" ht="12.0"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c r="AE994" s="17"/>
      <c r="AF994" s="17"/>
      <c r="AG994" s="17"/>
      <c r="AH994" s="17"/>
      <c r="AI994" s="17"/>
      <c r="AJ994" s="17"/>
      <c r="AK994" s="17"/>
      <c r="AL994" s="17"/>
      <c r="AM994" s="17"/>
      <c r="AN994" s="17"/>
      <c r="AO994" s="17"/>
      <c r="AP994" s="17"/>
      <c r="AQ994" s="17"/>
      <c r="AR994" s="17"/>
      <c r="AS994" s="17"/>
      <c r="AT994" s="17"/>
      <c r="AU994" s="17"/>
      <c r="AV994" s="17"/>
      <c r="AW994" s="17"/>
      <c r="AX994" s="17"/>
      <c r="AY994" s="17"/>
      <c r="AZ994" s="17"/>
      <c r="BA994" s="17"/>
      <c r="BB994" s="17"/>
      <c r="BC994" s="17"/>
      <c r="BD994" s="17"/>
      <c r="BE994" s="17"/>
      <c r="BF994" s="17"/>
      <c r="BG994" s="17"/>
      <c r="BH994" s="17"/>
      <c r="BI994" s="17"/>
      <c r="BJ994" s="17"/>
      <c r="BK994" s="17"/>
      <c r="BL994" s="17"/>
      <c r="BM994" s="17"/>
      <c r="BN994" s="17"/>
      <c r="BO994" s="17"/>
      <c r="BP994" s="17"/>
      <c r="BQ994" s="17"/>
      <c r="BR994" s="17"/>
      <c r="BS994" s="17"/>
      <c r="BT994" s="17"/>
    </row>
    <row r="995" ht="12.0"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c r="AF995" s="17"/>
      <c r="AG995" s="17"/>
      <c r="AH995" s="17"/>
      <c r="AI995" s="17"/>
      <c r="AJ995" s="17"/>
      <c r="AK995" s="17"/>
      <c r="AL995" s="17"/>
      <c r="AM995" s="17"/>
      <c r="AN995" s="17"/>
      <c r="AO995" s="17"/>
      <c r="AP995" s="17"/>
      <c r="AQ995" s="17"/>
      <c r="AR995" s="17"/>
      <c r="AS995" s="17"/>
      <c r="AT995" s="17"/>
      <c r="AU995" s="17"/>
      <c r="AV995" s="17"/>
      <c r="AW995" s="17"/>
      <c r="AX995" s="17"/>
      <c r="AY995" s="17"/>
      <c r="AZ995" s="17"/>
      <c r="BA995" s="17"/>
      <c r="BB995" s="17"/>
      <c r="BC995" s="17"/>
      <c r="BD995" s="17"/>
      <c r="BE995" s="17"/>
      <c r="BF995" s="17"/>
      <c r="BG995" s="17"/>
      <c r="BH995" s="17"/>
      <c r="BI995" s="17"/>
      <c r="BJ995" s="17"/>
      <c r="BK995" s="17"/>
      <c r="BL995" s="17"/>
      <c r="BM995" s="17"/>
      <c r="BN995" s="17"/>
      <c r="BO995" s="17"/>
      <c r="BP995" s="17"/>
      <c r="BQ995" s="17"/>
      <c r="BR995" s="17"/>
      <c r="BS995" s="17"/>
      <c r="BT995" s="17"/>
    </row>
    <row r="996" ht="12.0"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c r="AO996" s="17"/>
      <c r="AP996" s="17"/>
      <c r="AQ996" s="17"/>
      <c r="AR996" s="17"/>
      <c r="AS996" s="17"/>
      <c r="AT996" s="17"/>
      <c r="AU996" s="17"/>
      <c r="AV996" s="17"/>
      <c r="AW996" s="17"/>
      <c r="AX996" s="17"/>
      <c r="AY996" s="17"/>
      <c r="AZ996" s="17"/>
      <c r="BA996" s="17"/>
      <c r="BB996" s="17"/>
      <c r="BC996" s="17"/>
      <c r="BD996" s="17"/>
      <c r="BE996" s="17"/>
      <c r="BF996" s="17"/>
      <c r="BG996" s="17"/>
      <c r="BH996" s="17"/>
      <c r="BI996" s="17"/>
      <c r="BJ996" s="17"/>
      <c r="BK996" s="17"/>
      <c r="BL996" s="17"/>
      <c r="BM996" s="17"/>
      <c r="BN996" s="17"/>
      <c r="BO996" s="17"/>
      <c r="BP996" s="17"/>
      <c r="BQ996" s="17"/>
      <c r="BR996" s="17"/>
      <c r="BS996" s="17"/>
      <c r="BT996" s="17"/>
    </row>
    <row r="997" ht="12.0"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c r="AO997" s="17"/>
      <c r="AP997" s="17"/>
      <c r="AQ997" s="17"/>
      <c r="AR997" s="17"/>
      <c r="AS997" s="17"/>
      <c r="AT997" s="17"/>
      <c r="AU997" s="17"/>
      <c r="AV997" s="17"/>
      <c r="AW997" s="17"/>
      <c r="AX997" s="17"/>
      <c r="AY997" s="17"/>
      <c r="AZ997" s="17"/>
      <c r="BA997" s="17"/>
      <c r="BB997" s="17"/>
      <c r="BC997" s="17"/>
      <c r="BD997" s="17"/>
      <c r="BE997" s="17"/>
      <c r="BF997" s="17"/>
      <c r="BG997" s="17"/>
      <c r="BH997" s="17"/>
      <c r="BI997" s="17"/>
      <c r="BJ997" s="17"/>
      <c r="BK997" s="17"/>
      <c r="BL997" s="17"/>
      <c r="BM997" s="17"/>
      <c r="BN997" s="17"/>
      <c r="BO997" s="17"/>
      <c r="BP997" s="17"/>
      <c r="BQ997" s="17"/>
      <c r="BR997" s="17"/>
      <c r="BS997" s="17"/>
      <c r="BT997" s="17"/>
    </row>
    <row r="998" ht="12.0"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c r="AE998" s="17"/>
      <c r="AF998" s="17"/>
      <c r="AG998" s="17"/>
      <c r="AH998" s="17"/>
      <c r="AI998" s="17"/>
      <c r="AJ998" s="17"/>
      <c r="AK998" s="17"/>
      <c r="AL998" s="17"/>
      <c r="AM998" s="17"/>
      <c r="AN998" s="17"/>
      <c r="AO998" s="17"/>
      <c r="AP998" s="17"/>
      <c r="AQ998" s="17"/>
      <c r="AR998" s="17"/>
      <c r="AS998" s="17"/>
      <c r="AT998" s="17"/>
      <c r="AU998" s="17"/>
      <c r="AV998" s="17"/>
      <c r="AW998" s="17"/>
      <c r="AX998" s="17"/>
      <c r="AY998" s="17"/>
      <c r="AZ998" s="17"/>
      <c r="BA998" s="17"/>
      <c r="BB998" s="17"/>
      <c r="BC998" s="17"/>
      <c r="BD998" s="17"/>
      <c r="BE998" s="17"/>
      <c r="BF998" s="17"/>
      <c r="BG998" s="17"/>
      <c r="BH998" s="17"/>
      <c r="BI998" s="17"/>
      <c r="BJ998" s="17"/>
      <c r="BK998" s="17"/>
      <c r="BL998" s="17"/>
      <c r="BM998" s="17"/>
      <c r="BN998" s="17"/>
      <c r="BO998" s="17"/>
      <c r="BP998" s="17"/>
      <c r="BQ998" s="17"/>
      <c r="BR998" s="17"/>
      <c r="BS998" s="17"/>
      <c r="BT998" s="17"/>
    </row>
    <row r="999" ht="12.0"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c r="BL999" s="17"/>
      <c r="BM999" s="17"/>
      <c r="BN999" s="17"/>
      <c r="BO999" s="17"/>
      <c r="BP999" s="17"/>
      <c r="BQ999" s="17"/>
      <c r="BR999" s="17"/>
      <c r="BS999" s="17"/>
      <c r="BT999" s="17"/>
    </row>
    <row r="1000" ht="12.0"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c r="AO1000" s="17"/>
      <c r="AP1000" s="17"/>
      <c r="AQ1000" s="17"/>
      <c r="AR1000" s="17"/>
      <c r="AS1000" s="17"/>
      <c r="AT1000" s="17"/>
      <c r="AU1000" s="17"/>
      <c r="AV1000" s="17"/>
      <c r="AW1000" s="17"/>
      <c r="AX1000" s="17"/>
      <c r="AY1000" s="17"/>
      <c r="AZ1000" s="17"/>
      <c r="BA1000" s="17"/>
      <c r="BB1000" s="17"/>
      <c r="BC1000" s="17"/>
      <c r="BD1000" s="17"/>
      <c r="BE1000" s="17"/>
      <c r="BF1000" s="17"/>
      <c r="BG1000" s="17"/>
      <c r="BH1000" s="17"/>
      <c r="BI1000" s="17"/>
      <c r="BJ1000" s="17"/>
      <c r="BK1000" s="17"/>
      <c r="BL1000" s="17"/>
      <c r="BM1000" s="17"/>
      <c r="BN1000" s="17"/>
      <c r="BO1000" s="17"/>
      <c r="BP1000" s="17"/>
      <c r="BQ1000" s="17"/>
      <c r="BR1000" s="17"/>
      <c r="BS1000" s="17"/>
      <c r="BT1000" s="17"/>
    </row>
  </sheetData>
  <printOptions/>
  <pageMargins bottom="0.75" footer="0.0" header="0.0" left="0.7" right="0.7" top="0.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88"/>
    <col customWidth="1" min="2" max="2" width="3.88"/>
    <col customWidth="1" min="3" max="3" width="10.75"/>
    <col customWidth="1" min="4" max="4" width="10.13"/>
    <col customWidth="1" min="5" max="5" width="6.88"/>
    <col customWidth="1" min="6" max="6" width="4.0"/>
    <col customWidth="1" min="7" max="7" width="6.5"/>
    <col customWidth="1" min="8" max="8" width="3.5"/>
    <col customWidth="1" min="9" max="9" width="6.5"/>
    <col customWidth="1" min="10" max="10" width="3.0"/>
    <col customWidth="1" min="11" max="11" width="8.13"/>
    <col customWidth="1" min="12" max="12" width="4.13"/>
    <col customWidth="1" min="13" max="13" width="6.25"/>
    <col customWidth="1" min="14" max="14" width="4.13"/>
    <col customWidth="1" min="15" max="15" width="5.0"/>
    <col customWidth="1" min="16" max="26" width="8.0"/>
  </cols>
  <sheetData>
    <row r="1" ht="12.0" customHeight="1">
      <c r="A1" s="17"/>
      <c r="B1" s="17"/>
      <c r="C1" s="17"/>
      <c r="D1" s="17"/>
      <c r="E1" s="17"/>
      <c r="F1" s="17"/>
      <c r="G1" s="17"/>
      <c r="H1" s="17"/>
      <c r="I1" s="17"/>
      <c r="J1" s="17"/>
      <c r="K1" s="17"/>
      <c r="L1" s="17"/>
      <c r="M1" s="17"/>
      <c r="N1" s="17"/>
      <c r="O1" s="17"/>
      <c r="P1" s="17"/>
      <c r="Q1" s="17"/>
      <c r="R1" s="17"/>
      <c r="S1" s="17"/>
      <c r="T1" s="17"/>
      <c r="U1" s="17"/>
      <c r="V1" s="17"/>
      <c r="W1" s="17"/>
      <c r="X1" s="17"/>
      <c r="Y1" s="17"/>
      <c r="Z1" s="17"/>
    </row>
    <row r="2" ht="12.0" customHeight="1">
      <c r="A2" s="17"/>
      <c r="B2" s="17"/>
      <c r="C2" s="17"/>
      <c r="D2" s="17"/>
      <c r="E2" s="17"/>
      <c r="F2" s="17"/>
      <c r="G2" s="17"/>
      <c r="H2" s="17"/>
      <c r="I2" s="17"/>
      <c r="J2" s="17"/>
      <c r="K2" s="17"/>
      <c r="L2" s="17"/>
      <c r="M2" s="17"/>
      <c r="N2" s="17"/>
      <c r="O2" s="17"/>
      <c r="P2" s="17"/>
      <c r="Q2" s="17"/>
      <c r="R2" s="17"/>
      <c r="S2" s="17"/>
      <c r="T2" s="17"/>
      <c r="U2" s="17"/>
      <c r="V2" s="17"/>
      <c r="W2" s="17"/>
      <c r="X2" s="17"/>
      <c r="Y2" s="17"/>
      <c r="Z2" s="17"/>
    </row>
    <row r="3" ht="12.0" customHeight="1">
      <c r="A3" s="17"/>
      <c r="B3" s="17"/>
      <c r="C3" s="17"/>
      <c r="D3" s="17"/>
      <c r="E3" s="17"/>
      <c r="F3" s="17"/>
      <c r="G3" s="17"/>
      <c r="H3" s="17"/>
      <c r="I3" s="17"/>
      <c r="J3" s="17"/>
      <c r="K3" s="17"/>
      <c r="L3" s="17"/>
      <c r="M3" s="17"/>
      <c r="N3" s="17"/>
      <c r="O3" s="17"/>
      <c r="P3" s="17"/>
      <c r="Q3" s="17"/>
      <c r="R3" s="17"/>
      <c r="S3" s="17"/>
      <c r="T3" s="17"/>
      <c r="U3" s="17"/>
      <c r="V3" s="17"/>
      <c r="W3" s="17"/>
      <c r="X3" s="17"/>
      <c r="Y3" s="17"/>
      <c r="Z3" s="17"/>
    </row>
    <row r="4" ht="12.0" customHeight="1">
      <c r="A4" s="17"/>
      <c r="B4" s="17"/>
      <c r="C4" s="17"/>
      <c r="D4" s="17"/>
      <c r="E4" s="17"/>
      <c r="F4" s="17"/>
      <c r="G4" s="17"/>
      <c r="H4" s="17"/>
      <c r="I4" s="17"/>
      <c r="J4" s="17"/>
      <c r="K4" s="17"/>
      <c r="L4" s="17"/>
      <c r="M4" s="17"/>
      <c r="N4" s="17"/>
      <c r="O4" s="17"/>
      <c r="P4" s="17"/>
      <c r="Q4" s="17"/>
      <c r="R4" s="17"/>
      <c r="S4" s="17"/>
      <c r="T4" s="17"/>
      <c r="U4" s="17"/>
      <c r="V4" s="17"/>
      <c r="W4" s="17"/>
      <c r="X4" s="17"/>
      <c r="Y4" s="17"/>
      <c r="Z4" s="17"/>
    </row>
    <row r="5" ht="12.0" customHeight="1">
      <c r="A5" s="17"/>
      <c r="B5" s="17"/>
      <c r="C5" s="17"/>
      <c r="D5" s="17"/>
      <c r="E5" s="17"/>
      <c r="F5" s="17"/>
      <c r="G5" s="17"/>
      <c r="H5" s="17"/>
      <c r="I5" s="17"/>
      <c r="J5" s="17"/>
      <c r="K5" s="17"/>
      <c r="L5" s="17"/>
      <c r="M5" s="17"/>
      <c r="N5" s="17"/>
      <c r="O5" s="17"/>
      <c r="P5" s="17"/>
      <c r="Q5" s="17"/>
      <c r="R5" s="17"/>
      <c r="S5" s="17"/>
      <c r="T5" s="17"/>
      <c r="U5" s="17"/>
      <c r="V5" s="17"/>
      <c r="W5" s="17"/>
      <c r="X5" s="17"/>
      <c r="Y5" s="17"/>
      <c r="Z5" s="17"/>
    </row>
    <row r="6" ht="12.75" customHeight="1">
      <c r="A6" s="15" t="s">
        <v>102</v>
      </c>
      <c r="B6" s="17"/>
      <c r="C6" s="17"/>
      <c r="D6" s="17"/>
      <c r="E6" s="17"/>
      <c r="F6" s="17"/>
      <c r="G6" s="17"/>
      <c r="H6" s="17"/>
      <c r="I6" s="17"/>
      <c r="J6" s="17"/>
      <c r="K6" s="17"/>
      <c r="L6" s="17"/>
      <c r="M6" s="17"/>
      <c r="N6" s="17"/>
      <c r="O6" s="17"/>
      <c r="P6" s="17"/>
      <c r="Q6" s="17"/>
      <c r="R6" s="17"/>
      <c r="S6" s="17"/>
      <c r="T6" s="17"/>
      <c r="U6" s="17"/>
      <c r="V6" s="17"/>
      <c r="W6" s="17"/>
      <c r="X6" s="17"/>
      <c r="Y6" s="17"/>
      <c r="Z6" s="17"/>
    </row>
    <row r="7" ht="12.75" customHeight="1">
      <c r="A7" s="17"/>
      <c r="B7" s="20" t="s">
        <v>54</v>
      </c>
      <c r="C7" s="6">
        <v>0.0</v>
      </c>
      <c r="D7" s="17" t="s">
        <v>55</v>
      </c>
      <c r="E7" s="17"/>
      <c r="F7" s="15"/>
      <c r="G7" s="17"/>
      <c r="H7" s="17"/>
      <c r="I7" s="17"/>
      <c r="J7" s="17"/>
      <c r="K7" s="17"/>
      <c r="L7" s="17"/>
      <c r="M7" s="17"/>
      <c r="N7" s="17"/>
      <c r="O7" s="17"/>
      <c r="P7" s="17"/>
      <c r="Q7" s="17"/>
      <c r="R7" s="17"/>
      <c r="S7" s="17"/>
      <c r="T7" s="17"/>
      <c r="U7" s="17"/>
      <c r="V7" s="17"/>
      <c r="W7" s="17"/>
      <c r="X7" s="17"/>
      <c r="Y7" s="17"/>
      <c r="Z7" s="17"/>
    </row>
    <row r="8" ht="12.75" customHeight="1">
      <c r="A8" s="17"/>
      <c r="B8" s="20" t="s">
        <v>56</v>
      </c>
      <c r="C8" s="6">
        <v>15.0885</v>
      </c>
      <c r="D8" s="17" t="s">
        <v>55</v>
      </c>
      <c r="E8" s="17"/>
      <c r="F8" s="15"/>
      <c r="G8" s="17"/>
      <c r="H8" s="17"/>
      <c r="I8" s="17"/>
      <c r="J8" s="17"/>
      <c r="K8" s="17"/>
      <c r="L8" s="17"/>
      <c r="M8" s="17"/>
      <c r="N8" s="17"/>
      <c r="O8" s="17"/>
      <c r="P8" s="17"/>
      <c r="Q8" s="17"/>
      <c r="R8" s="17"/>
      <c r="S8" s="17"/>
      <c r="T8" s="17"/>
      <c r="U8" s="17"/>
      <c r="V8" s="17"/>
      <c r="W8" s="17"/>
      <c r="X8" s="17"/>
      <c r="Y8" s="17"/>
      <c r="Z8" s="17"/>
    </row>
    <row r="9" ht="12.0" customHeight="1">
      <c r="A9" s="17"/>
      <c r="B9" s="20" t="s">
        <v>57</v>
      </c>
      <c r="C9" s="6">
        <v>90.0074</v>
      </c>
      <c r="D9" s="17" t="s">
        <v>55</v>
      </c>
      <c r="E9" s="17"/>
      <c r="F9" s="17"/>
      <c r="G9" s="17"/>
      <c r="H9" s="17"/>
      <c r="I9" s="17"/>
      <c r="J9" s="17"/>
      <c r="K9" s="17"/>
      <c r="L9" s="17"/>
      <c r="M9" s="17"/>
      <c r="N9" s="17"/>
      <c r="O9" s="17"/>
      <c r="P9" s="17"/>
      <c r="Q9" s="17"/>
      <c r="R9" s="17"/>
      <c r="S9" s="17"/>
      <c r="T9" s="17"/>
      <c r="U9" s="17"/>
      <c r="V9" s="17"/>
      <c r="W9" s="17"/>
      <c r="X9" s="17"/>
      <c r="Y9" s="17"/>
      <c r="Z9" s="17"/>
    </row>
    <row r="10" ht="12.0" customHeight="1">
      <c r="A10" s="17"/>
      <c r="B10" s="20" t="s">
        <v>58</v>
      </c>
      <c r="C10" s="6">
        <v>224.9934</v>
      </c>
      <c r="D10" s="17" t="s">
        <v>55</v>
      </c>
      <c r="E10" s="17"/>
      <c r="F10" s="17"/>
      <c r="G10" s="17"/>
      <c r="H10" s="17"/>
      <c r="I10" s="17"/>
      <c r="J10" s="17"/>
      <c r="K10" s="17"/>
      <c r="L10" s="17"/>
      <c r="M10" s="17"/>
      <c r="N10" s="17"/>
      <c r="O10" s="17"/>
      <c r="P10" s="17"/>
      <c r="Q10" s="17"/>
      <c r="R10" s="17"/>
      <c r="S10" s="17"/>
      <c r="T10" s="17"/>
      <c r="U10" s="17"/>
      <c r="V10" s="17"/>
      <c r="W10" s="17"/>
      <c r="X10" s="17"/>
      <c r="Y10" s="17"/>
      <c r="Z10" s="17"/>
    </row>
    <row r="11" ht="12.0" customHeight="1">
      <c r="A11" s="17"/>
      <c r="B11" s="20" t="s">
        <v>94</v>
      </c>
      <c r="C11" s="6">
        <v>389.9981</v>
      </c>
      <c r="D11" s="17" t="s">
        <v>55</v>
      </c>
      <c r="E11" s="17"/>
      <c r="F11" s="17"/>
      <c r="G11" s="17"/>
      <c r="H11" s="17"/>
      <c r="I11" s="17"/>
      <c r="J11" s="17"/>
      <c r="K11" s="17"/>
      <c r="L11" s="17"/>
      <c r="M11" s="17"/>
      <c r="N11" s="17"/>
      <c r="O11" s="17"/>
      <c r="P11" s="17"/>
      <c r="Q11" s="17"/>
      <c r="R11" s="17"/>
      <c r="S11" s="17"/>
      <c r="T11" s="17"/>
      <c r="U11" s="17"/>
      <c r="V11" s="17"/>
      <c r="W11" s="17"/>
      <c r="X11" s="17"/>
      <c r="Y11" s="17"/>
      <c r="Z11" s="17"/>
    </row>
    <row r="12" ht="12.0" customHeight="1">
      <c r="A12" s="20"/>
      <c r="B12" s="20" t="s">
        <v>103</v>
      </c>
      <c r="C12" s="6">
        <v>494.9951</v>
      </c>
      <c r="D12" s="17" t="s">
        <v>55</v>
      </c>
      <c r="E12" s="17"/>
      <c r="F12" s="17"/>
      <c r="G12" s="17"/>
      <c r="H12" s="17"/>
      <c r="I12" s="17"/>
      <c r="J12" s="17"/>
      <c r="K12" s="17"/>
      <c r="L12" s="17"/>
      <c r="M12" s="17"/>
      <c r="N12" s="17"/>
      <c r="O12" s="17"/>
      <c r="P12" s="17"/>
      <c r="Q12" s="17"/>
      <c r="R12" s="17"/>
      <c r="S12" s="17"/>
      <c r="T12" s="17"/>
      <c r="U12" s="17"/>
      <c r="V12" s="17"/>
      <c r="W12" s="17"/>
      <c r="X12" s="17"/>
      <c r="Y12" s="17"/>
      <c r="Z12" s="17"/>
    </row>
    <row r="13" ht="12.0" customHeight="1">
      <c r="A13" s="17" t="s">
        <v>59</v>
      </c>
      <c r="B13" s="17"/>
      <c r="C13" s="6"/>
      <c r="D13" s="17"/>
      <c r="E13" s="17"/>
      <c r="F13" s="17"/>
      <c r="G13" s="17"/>
      <c r="H13" s="17"/>
      <c r="I13" s="17"/>
      <c r="J13" s="17"/>
      <c r="K13" s="17"/>
      <c r="L13" s="17"/>
      <c r="M13" s="17"/>
      <c r="N13" s="17"/>
      <c r="O13" s="17"/>
      <c r="P13" s="17"/>
      <c r="Q13" s="17"/>
      <c r="R13" s="17"/>
      <c r="S13" s="17"/>
      <c r="T13" s="17"/>
      <c r="U13" s="17"/>
      <c r="V13" s="17"/>
      <c r="W13" s="17"/>
      <c r="X13" s="17"/>
      <c r="Y13" s="17"/>
      <c r="Z13" s="17"/>
    </row>
    <row r="14" ht="12.0" customHeight="1">
      <c r="A14" s="17" t="s">
        <v>60</v>
      </c>
      <c r="B14" s="17"/>
      <c r="C14" s="24">
        <v>-1.0</v>
      </c>
      <c r="D14" s="17" t="s">
        <v>61</v>
      </c>
      <c r="E14" s="17"/>
      <c r="F14" s="17">
        <f>C14/1000</f>
        <v>-0.001</v>
      </c>
      <c r="G14" s="17" t="s">
        <v>62</v>
      </c>
      <c r="H14" s="17"/>
      <c r="I14" s="17"/>
      <c r="J14" s="17"/>
      <c r="K14" s="17"/>
      <c r="L14" s="17"/>
      <c r="M14" s="17"/>
      <c r="N14" s="17"/>
      <c r="O14" s="17"/>
      <c r="P14" s="17"/>
      <c r="Q14" s="17"/>
      <c r="R14" s="17"/>
      <c r="S14" s="17"/>
      <c r="T14" s="17"/>
      <c r="U14" s="17"/>
      <c r="V14" s="17"/>
      <c r="W14" s="17"/>
      <c r="X14" s="17"/>
      <c r="Y14" s="17"/>
      <c r="Z14" s="17"/>
    </row>
    <row r="15" ht="12.0" customHeight="1">
      <c r="A15" s="17" t="s">
        <v>63</v>
      </c>
      <c r="B15" s="17"/>
      <c r="C15" s="25">
        <v>-15.0</v>
      </c>
      <c r="D15" s="17" t="s">
        <v>64</v>
      </c>
      <c r="E15" s="17"/>
      <c r="F15" s="17">
        <f>C15/1000000</f>
        <v>-0.000015</v>
      </c>
      <c r="G15" s="17" t="s">
        <v>65</v>
      </c>
      <c r="H15" s="17"/>
      <c r="I15" s="17"/>
      <c r="J15" s="17"/>
      <c r="K15" s="17"/>
      <c r="L15" s="17"/>
      <c r="M15" s="17"/>
      <c r="N15" s="17"/>
      <c r="O15" s="17"/>
      <c r="P15" s="17"/>
      <c r="Q15" s="17"/>
      <c r="R15" s="17"/>
      <c r="S15" s="17"/>
      <c r="T15" s="17"/>
      <c r="U15" s="17"/>
      <c r="V15" s="17"/>
      <c r="W15" s="17"/>
      <c r="X15" s="17"/>
      <c r="Y15" s="17"/>
      <c r="Z15" s="17"/>
    </row>
    <row r="16" ht="12.0" customHeight="1">
      <c r="A16" s="17" t="s">
        <v>66</v>
      </c>
      <c r="B16" s="17"/>
      <c r="C16" s="26">
        <v>0.6</v>
      </c>
      <c r="D16" s="17" t="s">
        <v>67</v>
      </c>
      <c r="E16" s="26">
        <v>0.7</v>
      </c>
      <c r="F16" s="17" t="s">
        <v>64</v>
      </c>
      <c r="G16" s="17"/>
      <c r="H16" s="17"/>
      <c r="I16" s="17"/>
      <c r="J16" s="17"/>
      <c r="K16" s="17"/>
      <c r="L16" s="17"/>
      <c r="M16" s="17"/>
      <c r="N16" s="17"/>
      <c r="O16" s="17"/>
      <c r="P16" s="17"/>
      <c r="Q16" s="17"/>
      <c r="R16" s="17"/>
      <c r="S16" s="17"/>
      <c r="T16" s="17"/>
      <c r="U16" s="17"/>
      <c r="V16" s="17"/>
      <c r="W16" s="17"/>
      <c r="X16" s="17"/>
      <c r="Y16" s="17"/>
      <c r="Z16" s="17"/>
    </row>
    <row r="17" ht="12.75" customHeight="1">
      <c r="A17" s="15" t="s">
        <v>68</v>
      </c>
      <c r="B17" s="17"/>
      <c r="C17" s="17"/>
      <c r="D17" s="17"/>
      <c r="E17" s="17"/>
      <c r="F17" s="15"/>
      <c r="G17" s="17"/>
      <c r="H17" s="17"/>
      <c r="I17" s="17"/>
      <c r="J17" s="17"/>
      <c r="K17" s="17" t="s">
        <v>69</v>
      </c>
      <c r="L17" s="17"/>
      <c r="M17" s="17"/>
      <c r="N17" s="17"/>
      <c r="O17" s="17"/>
      <c r="P17" s="17"/>
      <c r="Q17" s="17"/>
      <c r="R17" s="17"/>
      <c r="S17" s="17"/>
      <c r="T17" s="17"/>
      <c r="U17" s="17"/>
      <c r="V17" s="17"/>
      <c r="W17" s="17"/>
      <c r="X17" s="17"/>
      <c r="Y17" s="17"/>
      <c r="Z17" s="17"/>
    </row>
    <row r="18" ht="12.75" customHeight="1">
      <c r="A18" s="27" t="s">
        <v>16</v>
      </c>
      <c r="B18" s="17" t="s">
        <v>17</v>
      </c>
      <c r="C18" s="17" t="s">
        <v>70</v>
      </c>
      <c r="D18" s="17" t="s">
        <v>71</v>
      </c>
      <c r="E18" s="17" t="s">
        <v>72</v>
      </c>
      <c r="F18" s="15" t="s">
        <v>73</v>
      </c>
      <c r="G18" s="17"/>
      <c r="H18" s="17"/>
      <c r="I18" s="20" t="s">
        <v>74</v>
      </c>
      <c r="J18" s="17"/>
      <c r="K18" s="20" t="s">
        <v>75</v>
      </c>
      <c r="L18" s="17"/>
      <c r="M18" s="20" t="s">
        <v>76</v>
      </c>
      <c r="N18" s="17"/>
      <c r="O18" s="17"/>
      <c r="P18" s="17"/>
      <c r="Q18" s="17"/>
      <c r="R18" s="17"/>
      <c r="S18" s="17"/>
      <c r="T18" s="17"/>
      <c r="U18" s="17"/>
      <c r="V18" s="17"/>
      <c r="W18" s="17"/>
      <c r="X18" s="17"/>
      <c r="Y18" s="17"/>
      <c r="Z18" s="17"/>
    </row>
    <row r="19" ht="12.0" customHeight="1">
      <c r="A19" s="18">
        <v>1.0</v>
      </c>
      <c r="B19" s="17">
        <v>2.0</v>
      </c>
      <c r="C19" s="6">
        <v>15.0897</v>
      </c>
      <c r="D19" s="22">
        <f>C8-C7</f>
        <v>15.0885</v>
      </c>
      <c r="E19" s="28">
        <f t="shared" ref="E19:E33" si="1">C$16+E$16*D19/1000</f>
        <v>0.61056195</v>
      </c>
      <c r="F19" s="29">
        <f t="shared" ref="F19:F33" si="2">-1/E19</f>
        <v>-1.63783544</v>
      </c>
      <c r="G19" s="30">
        <f t="shared" ref="G19:G33" si="3">-(D19/1000)/E19</f>
        <v>-0.02471248004</v>
      </c>
      <c r="H19" s="17"/>
      <c r="I19" s="29">
        <f t="shared" ref="I19:I33" si="4">-1000*(D19-F$14-F$15*D19-C19)/E19</f>
        <v>-0.04312011254</v>
      </c>
      <c r="J19" s="17"/>
      <c r="K19" s="29">
        <f t="shared" ref="K19:K33" si="5">M19*E19</f>
        <v>0.1169737067</v>
      </c>
      <c r="L19" s="29"/>
      <c r="M19" s="31">
        <f t="array" ref="M19:M33">MMULT(F19:G33,G37:G38)-I19:I33</f>
        <v>0.1915836824</v>
      </c>
      <c r="N19" s="17"/>
      <c r="O19" s="17"/>
      <c r="P19" s="17"/>
      <c r="Q19" s="17"/>
      <c r="R19" s="17"/>
      <c r="S19" s="17"/>
      <c r="T19" s="17"/>
      <c r="U19" s="17"/>
      <c r="V19" s="17"/>
      <c r="W19" s="17"/>
      <c r="X19" s="17"/>
      <c r="Y19" s="17"/>
      <c r="Z19" s="17"/>
    </row>
    <row r="20" ht="12.0" customHeight="1">
      <c r="A20" s="18">
        <v>1.0</v>
      </c>
      <c r="B20" s="17">
        <v>3.0</v>
      </c>
      <c r="C20" s="6">
        <v>90.0089</v>
      </c>
      <c r="D20" s="22">
        <f>C9-C7</f>
        <v>90.0074</v>
      </c>
      <c r="E20" s="28">
        <f t="shared" si="1"/>
        <v>0.66300518</v>
      </c>
      <c r="F20" s="29">
        <f t="shared" si="2"/>
        <v>-1.508283842</v>
      </c>
      <c r="G20" s="30">
        <f t="shared" si="3"/>
        <v>-0.1357567071</v>
      </c>
      <c r="H20" s="17"/>
      <c r="I20" s="29">
        <f t="shared" si="4"/>
        <v>-1.282208685</v>
      </c>
      <c r="J20" s="17"/>
      <c r="K20" s="29">
        <f t="shared" si="5"/>
        <v>1.0134741</v>
      </c>
      <c r="L20" s="29"/>
      <c r="M20" s="31">
        <v>1.528606609706372</v>
      </c>
      <c r="N20" s="17"/>
      <c r="O20" s="17"/>
      <c r="P20" s="17"/>
      <c r="Q20" s="17"/>
      <c r="R20" s="17"/>
      <c r="S20" s="17"/>
      <c r="T20" s="17"/>
      <c r="U20" s="17"/>
      <c r="V20" s="17"/>
      <c r="W20" s="17"/>
      <c r="X20" s="17"/>
      <c r="Y20" s="17"/>
      <c r="Z20" s="17"/>
    </row>
    <row r="21" ht="12.0" customHeight="1">
      <c r="A21" s="18">
        <v>1.0</v>
      </c>
      <c r="B21" s="17">
        <v>4.0</v>
      </c>
      <c r="C21" s="6">
        <v>224.999</v>
      </c>
      <c r="D21" s="22">
        <f>C10-C7</f>
        <v>224.9934</v>
      </c>
      <c r="E21" s="28">
        <f t="shared" si="1"/>
        <v>0.75749538</v>
      </c>
      <c r="F21" s="29">
        <f t="shared" si="2"/>
        <v>-1.320140065</v>
      </c>
      <c r="G21" s="30">
        <f t="shared" si="3"/>
        <v>-0.2970228016</v>
      </c>
      <c r="H21" s="17"/>
      <c r="I21" s="29">
        <f t="shared" si="4"/>
        <v>1.617302273</v>
      </c>
      <c r="J21" s="17"/>
      <c r="K21" s="29">
        <f t="shared" si="5"/>
        <v>-0.9307173901</v>
      </c>
      <c r="L21" s="29"/>
      <c r="M21" s="31">
        <v>-1.2286773155912862</v>
      </c>
      <c r="N21" s="17"/>
      <c r="O21" s="17"/>
      <c r="P21" s="17"/>
      <c r="Q21" s="17"/>
      <c r="R21" s="17"/>
      <c r="S21" s="17"/>
      <c r="T21" s="17"/>
      <c r="U21" s="17"/>
      <c r="V21" s="17"/>
      <c r="W21" s="17"/>
      <c r="X21" s="17"/>
      <c r="Y21" s="17"/>
      <c r="Z21" s="17"/>
    </row>
    <row r="22" ht="12.0" customHeight="1">
      <c r="A22" s="18">
        <v>1.0</v>
      </c>
      <c r="B22" s="17">
        <v>5.0</v>
      </c>
      <c r="C22" s="6">
        <v>390.0054</v>
      </c>
      <c r="D22" s="22">
        <f>C11-C7</f>
        <v>389.9981</v>
      </c>
      <c r="E22" s="28">
        <f t="shared" si="1"/>
        <v>0.87299867</v>
      </c>
      <c r="F22" s="29">
        <f t="shared" si="2"/>
        <v>-1.145477117</v>
      </c>
      <c r="G22" s="30">
        <f t="shared" si="3"/>
        <v>-0.4467338994</v>
      </c>
      <c r="H22" s="17"/>
      <c r="I22" s="29">
        <f t="shared" si="4"/>
        <v>0.5154973489</v>
      </c>
      <c r="J22" s="17"/>
      <c r="K22" s="29">
        <f t="shared" si="5"/>
        <v>0.004508013799</v>
      </c>
      <c r="L22" s="29"/>
      <c r="M22" s="31">
        <v>0.005163826652064718</v>
      </c>
      <c r="N22" s="17"/>
      <c r="O22" s="17"/>
      <c r="P22" s="17"/>
      <c r="Q22" s="17"/>
      <c r="R22" s="17"/>
      <c r="S22" s="17"/>
      <c r="T22" s="17"/>
      <c r="U22" s="17"/>
      <c r="V22" s="17"/>
      <c r="W22" s="17"/>
      <c r="X22" s="17"/>
      <c r="Y22" s="17"/>
      <c r="Z22" s="17"/>
    </row>
    <row r="23" ht="12.0" customHeight="1">
      <c r="A23" s="18">
        <v>1.0</v>
      </c>
      <c r="B23" s="17">
        <v>6.0</v>
      </c>
      <c r="C23" s="6">
        <v>495.0049</v>
      </c>
      <c r="D23" s="22">
        <f>C12-C7</f>
        <v>494.9951</v>
      </c>
      <c r="E23" s="28">
        <f t="shared" si="1"/>
        <v>0.94649657</v>
      </c>
      <c r="F23" s="29">
        <f t="shared" si="2"/>
        <v>-1.056527865</v>
      </c>
      <c r="G23" s="30">
        <f t="shared" si="3"/>
        <v>-0.522976116</v>
      </c>
      <c r="H23" s="17"/>
      <c r="I23" s="29">
        <f t="shared" si="4"/>
        <v>1.452803469</v>
      </c>
      <c r="J23" s="17"/>
      <c r="K23" s="29">
        <f t="shared" si="5"/>
        <v>-0.8186260441</v>
      </c>
      <c r="L23" s="29"/>
      <c r="M23" s="31">
        <v>-0.8649012263230003</v>
      </c>
      <c r="N23" s="17"/>
      <c r="O23" s="17"/>
      <c r="P23" s="17"/>
      <c r="Q23" s="17"/>
      <c r="R23" s="17"/>
      <c r="S23" s="17"/>
      <c r="T23" s="17"/>
      <c r="U23" s="17"/>
      <c r="V23" s="17"/>
      <c r="W23" s="17"/>
      <c r="X23" s="17"/>
      <c r="Y23" s="17"/>
      <c r="Z23" s="17"/>
    </row>
    <row r="24" ht="12.0" customHeight="1">
      <c r="A24" s="18">
        <v>2.0</v>
      </c>
      <c r="B24" s="17">
        <v>3.0</v>
      </c>
      <c r="C24" s="6">
        <v>74.9218</v>
      </c>
      <c r="D24" s="22">
        <f>C9-C8</f>
        <v>74.9189</v>
      </c>
      <c r="E24" s="28">
        <f t="shared" si="1"/>
        <v>0.65244323</v>
      </c>
      <c r="F24" s="29">
        <f t="shared" si="2"/>
        <v>-1.532700401</v>
      </c>
      <c r="G24" s="30">
        <f t="shared" si="3"/>
        <v>-0.114828228</v>
      </c>
      <c r="H24" s="17"/>
      <c r="I24" s="29">
        <f t="shared" si="4"/>
        <v>1.18970734</v>
      </c>
      <c r="J24" s="17"/>
      <c r="K24" s="29">
        <f t="shared" si="5"/>
        <v>-0.6274984204</v>
      </c>
      <c r="L24" s="29"/>
      <c r="M24" s="31">
        <v>-0.9617670803251974</v>
      </c>
      <c r="N24" s="17"/>
      <c r="O24" s="17"/>
      <c r="P24" s="17"/>
      <c r="Q24" s="17"/>
      <c r="R24" s="17"/>
      <c r="S24" s="17"/>
      <c r="T24" s="17"/>
      <c r="U24" s="17"/>
      <c r="V24" s="17"/>
      <c r="W24" s="17"/>
      <c r="X24" s="17"/>
      <c r="Y24" s="17"/>
      <c r="Z24" s="17"/>
    </row>
    <row r="25" ht="12.0" customHeight="1">
      <c r="A25" s="18">
        <v>2.0</v>
      </c>
      <c r="B25" s="17">
        <v>4.0</v>
      </c>
      <c r="C25" s="6">
        <v>209.9085</v>
      </c>
      <c r="D25" s="22">
        <f>C10-C8</f>
        <v>209.9049</v>
      </c>
      <c r="E25" s="28">
        <f t="shared" si="1"/>
        <v>0.74693343</v>
      </c>
      <c r="F25" s="29">
        <f t="shared" si="2"/>
        <v>-1.338807395</v>
      </c>
      <c r="G25" s="30">
        <f t="shared" si="3"/>
        <v>-0.2810222325</v>
      </c>
      <c r="H25" s="17"/>
      <c r="I25" s="29">
        <f t="shared" si="4"/>
        <v>-0.7344342588</v>
      </c>
      <c r="J25" s="17"/>
      <c r="K25" s="29">
        <f t="shared" si="5"/>
        <v>0.8283100891</v>
      </c>
      <c r="L25" s="29"/>
      <c r="M25" s="31">
        <v>1.1089476730034087</v>
      </c>
      <c r="N25" s="17"/>
      <c r="O25" s="17"/>
      <c r="P25" s="17"/>
      <c r="Q25" s="17"/>
      <c r="R25" s="17"/>
      <c r="S25" s="17"/>
      <c r="T25" s="17"/>
      <c r="U25" s="17"/>
      <c r="V25" s="17"/>
      <c r="W25" s="17"/>
      <c r="X25" s="17"/>
      <c r="Y25" s="17"/>
      <c r="Z25" s="17"/>
    </row>
    <row r="26" ht="12.0" customHeight="1">
      <c r="A26" s="18">
        <v>2.0</v>
      </c>
      <c r="B26" s="17">
        <v>5.0</v>
      </c>
      <c r="C26" s="6">
        <v>374.9171</v>
      </c>
      <c r="D26" s="22">
        <f>C11-C8</f>
        <v>374.9096</v>
      </c>
      <c r="E26" s="28">
        <f t="shared" si="1"/>
        <v>0.86243672</v>
      </c>
      <c r="F26" s="29">
        <f t="shared" si="2"/>
        <v>-1.159505361</v>
      </c>
      <c r="G26" s="30">
        <f t="shared" si="3"/>
        <v>-0.4347096909</v>
      </c>
      <c r="H26" s="17"/>
      <c r="I26" s="29">
        <f t="shared" si="4"/>
        <v>1.01613948</v>
      </c>
      <c r="J26" s="17"/>
      <c r="K26" s="29">
        <f t="shared" si="5"/>
        <v>-0.436464507</v>
      </c>
      <c r="L26" s="29"/>
      <c r="M26" s="31">
        <v>-0.5060829356039579</v>
      </c>
      <c r="N26" s="17"/>
      <c r="O26" s="17"/>
      <c r="P26" s="17"/>
      <c r="Q26" s="17"/>
      <c r="R26" s="17"/>
      <c r="S26" s="17"/>
      <c r="T26" s="17"/>
      <c r="U26" s="17"/>
      <c r="V26" s="17"/>
      <c r="W26" s="17"/>
      <c r="X26" s="17"/>
      <c r="Y26" s="17"/>
      <c r="Z26" s="17"/>
    </row>
    <row r="27" ht="12.0" customHeight="1">
      <c r="A27" s="18">
        <v>2.0</v>
      </c>
      <c r="B27" s="17">
        <v>6.0</v>
      </c>
      <c r="C27" s="6">
        <v>479.9148</v>
      </c>
      <c r="D27" s="22">
        <f>C12-C8</f>
        <v>479.9066</v>
      </c>
      <c r="E27" s="28">
        <f t="shared" si="1"/>
        <v>0.93593462</v>
      </c>
      <c r="F27" s="29">
        <f t="shared" si="2"/>
        <v>-1.0684507</v>
      </c>
      <c r="G27" s="30">
        <f t="shared" si="3"/>
        <v>-0.5127565428</v>
      </c>
      <c r="H27" s="17"/>
      <c r="I27" s="29">
        <f t="shared" si="4"/>
        <v>0.001496899513</v>
      </c>
      <c r="J27" s="17"/>
      <c r="K27" s="29">
        <f t="shared" si="5"/>
        <v>0.5404014351</v>
      </c>
      <c r="L27" s="29"/>
      <c r="M27" s="31">
        <v>0.5773922916429627</v>
      </c>
      <c r="N27" s="17"/>
      <c r="O27" s="17"/>
      <c r="P27" s="17"/>
      <c r="Q27" s="17"/>
      <c r="R27" s="17"/>
      <c r="S27" s="17"/>
      <c r="T27" s="17"/>
      <c r="U27" s="17"/>
      <c r="V27" s="17"/>
      <c r="W27" s="17"/>
      <c r="X27" s="17"/>
      <c r="Y27" s="17"/>
      <c r="Z27" s="17"/>
    </row>
    <row r="28" ht="12.0" customHeight="1">
      <c r="A28" s="18">
        <v>3.0</v>
      </c>
      <c r="B28" s="17">
        <v>4.0</v>
      </c>
      <c r="C28" s="6">
        <v>134.9896</v>
      </c>
      <c r="D28" s="22">
        <f>C10-C9</f>
        <v>134.986</v>
      </c>
      <c r="E28" s="28">
        <f t="shared" si="1"/>
        <v>0.6944902</v>
      </c>
      <c r="F28" s="29">
        <f t="shared" si="2"/>
        <v>-1.439905128</v>
      </c>
      <c r="G28" s="30">
        <f t="shared" si="3"/>
        <v>-0.1943670335</v>
      </c>
      <c r="H28" s="17"/>
      <c r="I28" s="29">
        <f t="shared" si="4"/>
        <v>0.8282478284</v>
      </c>
      <c r="J28" s="17"/>
      <c r="K28" s="29">
        <f t="shared" si="5"/>
        <v>-0.3681903046</v>
      </c>
      <c r="L28" s="29"/>
      <c r="M28" s="31">
        <v>-0.5301591074889007</v>
      </c>
      <c r="N28" s="17"/>
      <c r="O28" s="17"/>
      <c r="P28" s="17"/>
      <c r="Q28" s="17"/>
      <c r="R28" s="17"/>
      <c r="S28" s="17"/>
      <c r="T28" s="17"/>
      <c r="U28" s="17"/>
      <c r="V28" s="17"/>
      <c r="W28" s="17"/>
      <c r="X28" s="17"/>
      <c r="Y28" s="17"/>
      <c r="Z28" s="17"/>
    </row>
    <row r="29" ht="12.0" customHeight="1">
      <c r="A29" s="18">
        <v>3.0</v>
      </c>
      <c r="B29" s="17">
        <v>5.0</v>
      </c>
      <c r="C29" s="6">
        <v>299.9954</v>
      </c>
      <c r="D29" s="22">
        <f>C11-C9</f>
        <v>299.9907</v>
      </c>
      <c r="E29" s="28">
        <f t="shared" si="1"/>
        <v>0.80999349</v>
      </c>
      <c r="F29" s="29">
        <f t="shared" si="2"/>
        <v>-1.234577824</v>
      </c>
      <c r="G29" s="30">
        <f t="shared" si="3"/>
        <v>-0.3703618655</v>
      </c>
      <c r="H29" s="17"/>
      <c r="I29" s="29">
        <f t="shared" si="4"/>
        <v>-0.9874900352</v>
      </c>
      <c r="J29" s="17"/>
      <c r="K29" s="29">
        <f t="shared" si="5"/>
        <v>1.167035099</v>
      </c>
      <c r="L29" s="29"/>
      <c r="M29" s="31">
        <v>1.4407956528661123</v>
      </c>
      <c r="N29" s="17"/>
      <c r="O29" s="17"/>
      <c r="P29" s="17"/>
      <c r="Q29" s="17"/>
      <c r="R29" s="17"/>
      <c r="S29" s="17"/>
      <c r="T29" s="17"/>
      <c r="U29" s="17"/>
      <c r="V29" s="17"/>
      <c r="W29" s="17"/>
      <c r="X29" s="17"/>
      <c r="Y29" s="17"/>
      <c r="Z29" s="17"/>
    </row>
    <row r="30" ht="12.0" customHeight="1">
      <c r="A30" s="18">
        <v>3.0</v>
      </c>
      <c r="B30" s="17">
        <v>6.0</v>
      </c>
      <c r="C30" s="6">
        <v>404.9954</v>
      </c>
      <c r="D30" s="22">
        <f>C12-C9</f>
        <v>404.9877</v>
      </c>
      <c r="E30" s="28">
        <f t="shared" si="1"/>
        <v>0.88349139</v>
      </c>
      <c r="F30" s="29">
        <f t="shared" si="2"/>
        <v>-1.131872943</v>
      </c>
      <c r="G30" s="30">
        <f t="shared" si="3"/>
        <v>-0.45839462</v>
      </c>
      <c r="H30" s="17"/>
      <c r="I30" s="29">
        <f t="shared" si="4"/>
        <v>0.7076294202</v>
      </c>
      <c r="J30" s="17"/>
      <c r="K30" s="29">
        <f t="shared" si="5"/>
        <v>-0.1560989586</v>
      </c>
      <c r="L30" s="29"/>
      <c r="M30" s="31">
        <v>-0.17668418771161865</v>
      </c>
      <c r="N30" s="17"/>
      <c r="O30" s="17"/>
      <c r="P30" s="17"/>
      <c r="Q30" s="17"/>
      <c r="R30" s="17"/>
      <c r="S30" s="17"/>
      <c r="T30" s="17"/>
      <c r="U30" s="17"/>
      <c r="V30" s="17"/>
      <c r="W30" s="17"/>
      <c r="X30" s="17"/>
      <c r="Y30" s="17"/>
      <c r="Z30" s="17"/>
    </row>
    <row r="31" ht="12.0" customHeight="1">
      <c r="A31" s="18">
        <v>4.0</v>
      </c>
      <c r="B31" s="17">
        <v>5.0</v>
      </c>
      <c r="C31" s="6">
        <v>165.0091</v>
      </c>
      <c r="D31" s="22">
        <f>C11-C10</f>
        <v>165.0047</v>
      </c>
      <c r="E31" s="28">
        <f t="shared" si="1"/>
        <v>0.71550329</v>
      </c>
      <c r="F31" s="29">
        <f t="shared" si="2"/>
        <v>-1.397617613</v>
      </c>
      <c r="G31" s="30">
        <f t="shared" si="3"/>
        <v>-0.2306134749</v>
      </c>
      <c r="H31" s="17"/>
      <c r="I31" s="29">
        <f t="shared" si="4"/>
        <v>1.29269776</v>
      </c>
      <c r="J31" s="17"/>
      <c r="K31" s="29">
        <f t="shared" si="5"/>
        <v>-0.6887734102</v>
      </c>
      <c r="L31" s="29"/>
      <c r="M31" s="31">
        <v>-0.9626418492032093</v>
      </c>
      <c r="N31" s="17"/>
      <c r="O31" s="17"/>
      <c r="P31" s="17"/>
      <c r="Q31" s="17"/>
      <c r="R31" s="17"/>
      <c r="S31" s="17"/>
      <c r="T31" s="17"/>
      <c r="U31" s="17"/>
      <c r="V31" s="17"/>
      <c r="W31" s="17"/>
      <c r="X31" s="17"/>
      <c r="Y31" s="17"/>
      <c r="Z31" s="17"/>
    </row>
    <row r="32" ht="12.0" customHeight="1">
      <c r="A32" s="18">
        <v>4.0</v>
      </c>
      <c r="B32" s="17">
        <v>6.0</v>
      </c>
      <c r="C32" s="6">
        <v>270.0065</v>
      </c>
      <c r="D32" s="22">
        <f>C12-C10</f>
        <v>270.0017</v>
      </c>
      <c r="E32" s="28">
        <f t="shared" si="1"/>
        <v>0.78900119</v>
      </c>
      <c r="F32" s="29">
        <f t="shared" si="2"/>
        <v>-1.267425211</v>
      </c>
      <c r="G32" s="30">
        <f t="shared" si="3"/>
        <v>-0.3422069617</v>
      </c>
      <c r="H32" s="17"/>
      <c r="I32" s="29">
        <f t="shared" si="4"/>
        <v>-0.3168886221</v>
      </c>
      <c r="J32" s="17"/>
      <c r="K32" s="29">
        <f t="shared" si="5"/>
        <v>0.5880925319</v>
      </c>
      <c r="L32" s="29"/>
      <c r="M32" s="31">
        <v>0.7453633015603093</v>
      </c>
      <c r="N32" s="17"/>
      <c r="O32" s="17"/>
      <c r="P32" s="17"/>
      <c r="Q32" s="17"/>
      <c r="R32" s="17"/>
      <c r="S32" s="17"/>
      <c r="T32" s="17"/>
      <c r="U32" s="17"/>
      <c r="V32" s="17"/>
      <c r="W32" s="17"/>
      <c r="X32" s="17"/>
      <c r="Y32" s="17"/>
      <c r="Z32" s="17"/>
    </row>
    <row r="33" ht="12.0" customHeight="1">
      <c r="A33" s="18">
        <v>5.0</v>
      </c>
      <c r="B33" s="17">
        <v>6.0</v>
      </c>
      <c r="C33" s="19">
        <v>105.0</v>
      </c>
      <c r="D33" s="22">
        <f>C12-C11</f>
        <v>104.997</v>
      </c>
      <c r="E33" s="28">
        <f t="shared" si="1"/>
        <v>0.6734979</v>
      </c>
      <c r="F33" s="29">
        <f t="shared" si="2"/>
        <v>-1.484785624</v>
      </c>
      <c r="G33" s="30">
        <f t="shared" si="3"/>
        <v>-0.1558980362</v>
      </c>
      <c r="H33" s="17"/>
      <c r="I33" s="29">
        <f t="shared" si="4"/>
        <v>0.6311007058</v>
      </c>
      <c r="J33" s="17"/>
      <c r="K33" s="29">
        <f t="shared" si="5"/>
        <v>-0.247132872</v>
      </c>
      <c r="L33" s="29"/>
      <c r="M33" s="31">
        <v>-0.3669393355997573</v>
      </c>
      <c r="N33" s="17"/>
      <c r="O33" s="17"/>
      <c r="P33" s="17"/>
      <c r="Q33" s="17"/>
      <c r="R33" s="17"/>
      <c r="S33" s="17"/>
      <c r="T33" s="17"/>
      <c r="U33" s="17"/>
      <c r="V33" s="17"/>
      <c r="W33" s="17"/>
      <c r="X33" s="17"/>
      <c r="Y33" s="17"/>
      <c r="Z33" s="17"/>
    </row>
    <row r="34" ht="12.0" customHeight="1">
      <c r="A34" s="18"/>
      <c r="B34" s="27" t="s">
        <v>77</v>
      </c>
      <c r="C34" s="17">
        <f>COUNT(C19:C33)</f>
        <v>15</v>
      </c>
      <c r="D34" s="22"/>
      <c r="E34" s="41"/>
      <c r="F34" s="18"/>
      <c r="G34" s="30"/>
      <c r="H34" s="17"/>
      <c r="I34" s="29"/>
      <c r="J34" s="17"/>
      <c r="K34" s="29"/>
      <c r="L34" s="29"/>
      <c r="M34" s="32"/>
      <c r="N34" s="17"/>
      <c r="O34" s="17"/>
      <c r="P34" s="17"/>
      <c r="Q34" s="17"/>
      <c r="R34" s="17"/>
      <c r="S34" s="17"/>
      <c r="T34" s="17"/>
      <c r="U34" s="17"/>
      <c r="V34" s="17"/>
      <c r="W34" s="17"/>
      <c r="X34" s="17"/>
      <c r="Y34" s="17"/>
      <c r="Z34" s="17"/>
    </row>
    <row r="35" ht="12.0" customHeight="1">
      <c r="A35" s="17"/>
      <c r="B35" s="27" t="s">
        <v>78</v>
      </c>
      <c r="C35" s="17">
        <f>C34-2</f>
        <v>13</v>
      </c>
      <c r="D35" s="17"/>
      <c r="E35" s="17"/>
      <c r="F35" s="17"/>
      <c r="G35" s="17"/>
      <c r="H35" s="17"/>
      <c r="I35" s="17"/>
      <c r="J35" s="17"/>
      <c r="K35" s="17"/>
      <c r="L35" s="27" t="s">
        <v>79</v>
      </c>
      <c r="M35" s="31">
        <f>SUMSQ(M19:M33)/C35</f>
        <v>0.8754155556</v>
      </c>
      <c r="N35" s="17"/>
      <c r="O35" s="17"/>
      <c r="P35" s="17"/>
      <c r="Q35" s="17"/>
      <c r="R35" s="17"/>
      <c r="S35" s="17"/>
      <c r="T35" s="17"/>
      <c r="U35" s="17"/>
      <c r="V35" s="17"/>
      <c r="W35" s="17"/>
      <c r="X35" s="17"/>
      <c r="Y35" s="17"/>
      <c r="Z35" s="17"/>
    </row>
    <row r="36" ht="12.0" customHeight="1">
      <c r="A36" s="17"/>
      <c r="B36" s="17"/>
      <c r="C36" s="30"/>
      <c r="D36" s="30"/>
      <c r="E36" s="17"/>
      <c r="F36" s="17"/>
      <c r="G36" s="17"/>
      <c r="H36" s="17"/>
      <c r="I36" s="30"/>
      <c r="J36" s="17"/>
      <c r="K36" s="17"/>
      <c r="L36" s="17"/>
      <c r="M36" s="17"/>
      <c r="N36" s="17"/>
      <c r="O36" s="17"/>
      <c r="P36" s="17"/>
      <c r="Q36" s="17"/>
      <c r="R36" s="17"/>
      <c r="S36" s="17"/>
      <c r="T36" s="17"/>
      <c r="U36" s="17"/>
      <c r="V36" s="17"/>
      <c r="W36" s="17"/>
      <c r="X36" s="17"/>
      <c r="Y36" s="17"/>
      <c r="Z36" s="17"/>
    </row>
    <row r="37" ht="12.0" customHeight="1">
      <c r="A37" s="17"/>
      <c r="B37" s="17" t="s">
        <v>93</v>
      </c>
      <c r="C37" s="33">
        <f t="array" ref="C37:D38">MINVERSE(MMULT(TRANSPOSE(F19:G33),F19:G33))</f>
        <v>0.1200728842</v>
      </c>
      <c r="D37" s="34">
        <v>-0.39101415983917487</v>
      </c>
      <c r="F37" s="17" t="s">
        <v>81</v>
      </c>
      <c r="G37" s="35">
        <f t="array" ref="G37:G38">MMULT(C37:D38,MMULT(TRANSPOSE(F19:G33),I19:I33))</f>
        <v>-0.0760011859</v>
      </c>
      <c r="H37" s="17"/>
      <c r="I37" s="17"/>
      <c r="J37" s="17"/>
      <c r="K37" s="17"/>
      <c r="L37" s="17"/>
      <c r="M37" s="17"/>
      <c r="N37" s="17"/>
      <c r="O37" s="17"/>
      <c r="P37" s="17"/>
      <c r="Q37" s="17"/>
      <c r="R37" s="17"/>
      <c r="S37" s="17"/>
      <c r="T37" s="17"/>
      <c r="U37" s="17"/>
      <c r="V37" s="17"/>
      <c r="W37" s="17"/>
      <c r="X37" s="17"/>
      <c r="Y37" s="17"/>
      <c r="Z37" s="17"/>
    </row>
    <row r="38" ht="12.0" customHeight="1">
      <c r="A38" s="17"/>
      <c r="B38" s="17"/>
      <c r="C38" s="36">
        <v>-0.3910141598391749</v>
      </c>
      <c r="D38" s="37">
        <v>1.8601632338210807</v>
      </c>
      <c r="F38" s="17"/>
      <c r="G38" s="38">
        <v>-0.9706081334213787</v>
      </c>
      <c r="H38" s="17"/>
      <c r="I38" s="17"/>
      <c r="J38" s="17"/>
      <c r="K38" s="17"/>
      <c r="L38" s="17"/>
      <c r="M38" s="17"/>
      <c r="N38" s="17"/>
      <c r="O38" s="17"/>
      <c r="P38" s="17"/>
      <c r="Q38" s="17"/>
      <c r="R38" s="17"/>
      <c r="S38" s="17"/>
      <c r="T38" s="17"/>
      <c r="U38" s="17"/>
      <c r="V38" s="17"/>
      <c r="W38" s="17"/>
      <c r="X38" s="17"/>
      <c r="Y38" s="17"/>
      <c r="Z38" s="17"/>
    </row>
    <row r="39" ht="12.0" customHeight="1">
      <c r="A39" s="17"/>
      <c r="B39" s="17"/>
      <c r="C39" s="17"/>
      <c r="D39" s="17"/>
      <c r="J39" s="17"/>
      <c r="K39" s="17"/>
      <c r="L39" s="17"/>
      <c r="M39" s="17"/>
      <c r="N39" s="17"/>
      <c r="P39" s="17"/>
      <c r="Q39" s="17"/>
      <c r="R39" s="17"/>
      <c r="S39" s="17"/>
      <c r="T39" s="17"/>
      <c r="U39" s="17"/>
      <c r="V39" s="17"/>
      <c r="W39" s="17"/>
      <c r="X39" s="17"/>
      <c r="Y39" s="17"/>
      <c r="Z39" s="17"/>
    </row>
    <row r="40" ht="12.0" customHeight="1">
      <c r="A40" s="17"/>
      <c r="B40" s="17"/>
      <c r="C40" s="17" t="s">
        <v>83</v>
      </c>
      <c r="D40" s="17"/>
      <c r="E40" s="17" t="s">
        <v>84</v>
      </c>
      <c r="F40" s="17"/>
      <c r="G40" s="17" t="s">
        <v>85</v>
      </c>
      <c r="H40" s="17"/>
      <c r="I40" s="17"/>
      <c r="J40" s="17"/>
      <c r="K40" s="17"/>
      <c r="L40" s="17"/>
      <c r="M40" s="17"/>
      <c r="N40" s="17"/>
      <c r="O40" s="17"/>
      <c r="P40" s="17"/>
      <c r="Q40" s="17"/>
      <c r="R40" s="17"/>
      <c r="S40" s="17"/>
      <c r="T40" s="17"/>
      <c r="U40" s="17"/>
      <c r="V40" s="17"/>
      <c r="W40" s="17"/>
      <c r="X40" s="17"/>
      <c r="Y40" s="17"/>
      <c r="Z40" s="17"/>
    </row>
    <row r="41" ht="12.0" customHeight="1">
      <c r="A41" s="17"/>
      <c r="B41" s="17" t="s">
        <v>86</v>
      </c>
      <c r="C41" s="57">
        <f t="shared" ref="C41:C42" si="6">C14+G37</f>
        <v>-1.076001186</v>
      </c>
      <c r="D41" s="17" t="s">
        <v>61</v>
      </c>
      <c r="E41" s="39">
        <f>SQRT(C37)</f>
        <v>0.3465153449</v>
      </c>
      <c r="F41" s="17" t="s">
        <v>61</v>
      </c>
      <c r="G41" s="29">
        <f t="shared" ref="G41:G42" si="7">TINV(0.05,C$35)*E41</f>
        <v>0.7486008901</v>
      </c>
      <c r="H41" s="17"/>
      <c r="I41" s="17" t="s">
        <v>87</v>
      </c>
      <c r="J41" s="17"/>
      <c r="K41" s="17"/>
      <c r="L41" s="17"/>
      <c r="M41" s="17"/>
      <c r="N41" s="17"/>
      <c r="O41" s="17"/>
      <c r="P41" s="17"/>
      <c r="Q41" s="17"/>
      <c r="R41" s="17"/>
      <c r="S41" s="17"/>
      <c r="T41" s="17"/>
      <c r="U41" s="17"/>
      <c r="V41" s="17"/>
      <c r="W41" s="17"/>
      <c r="X41" s="17"/>
      <c r="Y41" s="17"/>
      <c r="Z41" s="17"/>
    </row>
    <row r="42" ht="12.0" customHeight="1">
      <c r="A42" s="17"/>
      <c r="B42" s="17" t="s">
        <v>88</v>
      </c>
      <c r="C42" s="57">
        <f t="shared" si="6"/>
        <v>-15.97060813</v>
      </c>
      <c r="D42" s="17" t="s">
        <v>64</v>
      </c>
      <c r="E42" s="39">
        <f>SQRT(D38)</f>
        <v>1.363878013</v>
      </c>
      <c r="F42" s="17" t="s">
        <v>64</v>
      </c>
      <c r="G42" s="29">
        <f t="shared" si="7"/>
        <v>2.94647931</v>
      </c>
      <c r="H42" s="17"/>
      <c r="I42" s="30">
        <f>D37/(SQRT(C37)*SQRT(D38))</f>
        <v>-0.827359933</v>
      </c>
      <c r="J42" s="17"/>
      <c r="K42" s="17"/>
      <c r="L42" s="17"/>
      <c r="M42" s="17"/>
      <c r="N42" s="17"/>
      <c r="O42" s="17"/>
      <c r="P42" s="17"/>
      <c r="Q42" s="17"/>
      <c r="R42" s="17"/>
      <c r="S42" s="17"/>
      <c r="T42" s="17"/>
      <c r="U42" s="17"/>
      <c r="V42" s="17"/>
      <c r="W42" s="17"/>
      <c r="X42" s="17"/>
      <c r="Y42" s="17"/>
      <c r="Z42" s="17"/>
    </row>
    <row r="43" ht="12.0" customHeight="1">
      <c r="A43" s="17"/>
      <c r="B43" s="17"/>
      <c r="C43" s="40"/>
      <c r="D43" s="17"/>
      <c r="E43" s="17"/>
      <c r="F43" s="17"/>
      <c r="G43" s="17"/>
      <c r="H43" s="17"/>
      <c r="I43" s="17"/>
      <c r="J43" s="17"/>
      <c r="K43" s="17"/>
      <c r="L43" s="17"/>
      <c r="M43" s="17"/>
      <c r="N43" s="17"/>
      <c r="O43" s="17"/>
      <c r="P43" s="17"/>
      <c r="Q43" s="17"/>
      <c r="R43" s="17"/>
      <c r="S43" s="17"/>
      <c r="T43" s="17"/>
      <c r="U43" s="17"/>
      <c r="V43" s="17"/>
      <c r="W43" s="17"/>
      <c r="X43" s="17"/>
      <c r="Y43" s="17"/>
      <c r="Z43" s="17"/>
    </row>
    <row r="44" ht="12.0" customHeight="1">
      <c r="A44" s="17" t="s">
        <v>89</v>
      </c>
      <c r="B44" s="17"/>
      <c r="C44" s="17"/>
      <c r="D44" s="6">
        <v>654.321</v>
      </c>
      <c r="E44" s="17" t="s">
        <v>90</v>
      </c>
      <c r="F44" s="17"/>
      <c r="G44" s="17"/>
      <c r="H44" s="17"/>
      <c r="I44" s="17"/>
      <c r="J44" s="17"/>
      <c r="K44" s="17"/>
      <c r="L44" s="17"/>
      <c r="M44" s="17"/>
      <c r="N44" s="17"/>
      <c r="O44" s="17"/>
      <c r="P44" s="17"/>
      <c r="Q44" s="17"/>
      <c r="R44" s="17"/>
      <c r="S44" s="17"/>
      <c r="T44" s="17"/>
      <c r="U44" s="17"/>
      <c r="V44" s="17"/>
      <c r="W44" s="17"/>
      <c r="X44" s="17"/>
      <c r="Y44" s="17"/>
      <c r="Z44" s="17"/>
    </row>
    <row r="45" ht="12.0" customHeight="1">
      <c r="A45" s="17"/>
      <c r="B45" s="17"/>
      <c r="C45" s="17"/>
      <c r="D45" s="23">
        <f>D44+C41/1000+C42*D44/1000000</f>
        <v>654.3094741</v>
      </c>
      <c r="E45" s="17" t="s">
        <v>91</v>
      </c>
      <c r="F45" s="17"/>
      <c r="G45" s="17"/>
      <c r="H45" s="17"/>
      <c r="I45" s="17"/>
      <c r="J45" s="17"/>
      <c r="K45" s="17"/>
      <c r="L45" s="17"/>
      <c r="M45" s="17"/>
      <c r="N45" s="17"/>
      <c r="O45" s="17"/>
      <c r="P45" s="17"/>
      <c r="Q45" s="17"/>
      <c r="R45" s="17"/>
      <c r="S45" s="17"/>
      <c r="T45" s="17"/>
      <c r="U45" s="17"/>
      <c r="V45" s="17"/>
      <c r="W45" s="17"/>
      <c r="X45" s="17"/>
      <c r="Y45" s="17"/>
      <c r="Z45" s="17"/>
    </row>
    <row r="46" ht="12.0"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ht="12.0"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ht="12.0"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ht="12.0"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ht="12.0"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ht="12.0"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ht="12.0"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ht="12.0"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ht="12.0"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ht="12.0"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ht="12.0"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ht="12.0"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ht="12.0"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ht="12.0"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ht="12.0"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ht="12.0"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ht="12.0"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ht="12.0"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ht="12.0"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ht="12.0"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ht="12.0"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ht="12.0"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ht="12.0"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ht="12.0"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ht="12.0"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ht="12.0"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ht="12.0"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ht="12.0"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ht="12.0"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ht="12.0"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ht="12.0"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ht="12.0"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ht="12.0"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ht="12.0"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ht="12.0"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ht="12.0"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ht="12.0"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ht="12.0"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ht="12.0"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ht="12.0"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ht="12.0"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ht="12.0"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ht="12.0"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ht="12.0"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ht="12.0"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ht="12.0"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ht="12.0"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ht="12.0"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ht="12.0"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ht="12.0"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ht="12.0"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ht="12.0"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ht="12.0"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ht="12.0"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ht="12.0"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12.0"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12.0"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12.0"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12.0"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12.0"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12.0"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12.0"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12.0"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12.0"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12.0"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12.0"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12.0"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12.0"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12.0"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12.0"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12.0"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12.0"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12.0"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12.0"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12.0"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12.0"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12.0"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12.0"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12.0"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12.0"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12.0"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12.0"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12.0"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12.0"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12.0"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12.0"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12.0"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12.0"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12.0"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12.0"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12.0"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12.0"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12.0"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12.0"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2.0"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2.0"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2.0"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2.0"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2.0"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2.0"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2.0"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0"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0"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0"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0"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0"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0"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0"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0"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0"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0"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0"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0"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0"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0"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0"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0"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0"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0"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0"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0"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0"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0"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0"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0"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0"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0"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0"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0"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0"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0"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0"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0"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0"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0"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0"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0"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0"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0"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0"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0"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0"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0"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0"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0"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0"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0"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0"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0"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0"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0"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0"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0"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0"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0"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0"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0"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0"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0"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0"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0"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0"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0"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0"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0"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0"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0"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0"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0"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0"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0"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0"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0"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0"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0"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0"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0"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0"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0"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0"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0"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0"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0"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0"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0"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0"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0"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0"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0"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0"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0"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0"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0"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0"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0"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0"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0"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0"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0"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0"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0"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0"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0"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0"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0"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0"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0"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0"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0"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0"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0"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0"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0"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0"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0"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0"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0"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0"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0"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0"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0"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0"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0"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0"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0"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0"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0"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0"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0"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0"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0"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0"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0"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0"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0"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0"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0"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0"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0"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0"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0"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0"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0"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0"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0"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0"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0"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0"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0"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0"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0"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0"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0"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0"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0"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0"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0"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0"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0"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0"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0"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0"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0"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0"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0"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0"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0"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0"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0"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0"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0"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0"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0"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0"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0"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0"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0"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0"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0"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0"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0"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0"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0"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0"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0"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0"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0"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0"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0"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0"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0"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0"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0"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0"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0"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0"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0"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0"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0"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0"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0"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0"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0"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0"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0"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0"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0"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0"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0"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0"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0"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0"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0"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0"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0"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0"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0"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0"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0"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0"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0"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0"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0"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0"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0"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0"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0"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0"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0"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0"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0"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0"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0"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0"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0"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0"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0"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0"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0"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0"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0"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0"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0"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0"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0"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0"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0"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0"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0"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0"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0"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0"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0"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0"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0"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0"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0"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0"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0"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0"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0"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0"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0"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0"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0"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0"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0"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0"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0"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0"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0"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0"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0"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0"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0"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0"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0"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0"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0"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0"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0"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0"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0"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0"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0"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0"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0"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0"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0"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0"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0"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0"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0"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0"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0"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0"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0"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0"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0"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0"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0"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0"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0"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0"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0"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0"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0"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0"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0"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0"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0"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0"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0"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0"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0"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0"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0"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0"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0"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0"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0"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0"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0"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0"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0"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0"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0"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0"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0"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0"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0"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0"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0"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0"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0"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0"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0"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0"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0"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0"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0"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0"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0"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0"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0"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0"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0"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0"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0"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0"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0"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0"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0"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0"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0"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0"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0"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0"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0"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0"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0"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0"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0"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0"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0"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0"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0"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0"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0"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0"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0"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0"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0"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0"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0"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0"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0"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0"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0"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0"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0"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0"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0"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0"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0"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0"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0"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0"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0"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0"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0"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0"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0"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0"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0"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0"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0"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0"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0"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0"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0"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0"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0"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0"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0"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0"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0"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0"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0"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0"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0"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0"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0"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0"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0"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0"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0"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0"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0"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0"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0"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0"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0"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0"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0"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0"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0"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0"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0"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0"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0"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0"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0"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0"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0"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0"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0"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0"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0"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0"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0"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0"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0"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0"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0"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0"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0"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0"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0"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0"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0"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0"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0"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0"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0"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0"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0"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0"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0"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0"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0"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0"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0"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0"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0"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0"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0"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0"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0"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0"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0"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0"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0"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0"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0"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0"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0"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0"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0"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0"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0"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0"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0"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0"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0"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0"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0"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0"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0"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0"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0"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0"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0"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0"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0"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0"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0"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0"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0"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0"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0"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0"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0"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0"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0"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0"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0"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0"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0"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0"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0"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0"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0"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0"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0"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0"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0"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0"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0"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0"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0"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0"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0"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0"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0"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0"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0"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0"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0"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0"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0"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0"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0"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0"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0"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0"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0"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0"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0"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0"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0"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0"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0"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0"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0"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0"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0"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0"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0"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0"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0"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0"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0"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0"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0"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0"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0"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0"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0"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0"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0"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0"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0"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0"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0"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0"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0"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0"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0"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0"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0"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0"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0"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0"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0"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0"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0"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0"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0"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0"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0"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0"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0"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0"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0"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0"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0"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0"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0"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0"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0"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0"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0"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0"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0"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0"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0"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0"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0"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0"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0"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0"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0"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0"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0"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0"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0"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0"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0"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0"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0"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0"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0"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0"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0"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0"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0"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0"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0"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0"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0"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0"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0"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0"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0"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0"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0"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0"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0"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0"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0"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0"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0"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0"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0"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0"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0"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0"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0"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0"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0"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0"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0"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0"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0"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0"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0"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0"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0"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0"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0"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0"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0"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0"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0"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0"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0"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0"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0"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0"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0"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0"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0"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0"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0"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0"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0"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0"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0"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0"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0"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0"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0"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0"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0"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0"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0"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0"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0"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0"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0"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0"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0"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0"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0"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0"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0"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0"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0"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0"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0"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0"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0"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0"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0"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0"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0"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0"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0"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0"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0"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0"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0"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0"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0"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0"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0"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0"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0"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0"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0"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0"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0"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0"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0"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0"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0"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0"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0"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0"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0"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0"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0"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0"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0"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0"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0"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0"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0"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0"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0"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0"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0"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0"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0"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0"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0"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0"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0"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0"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0"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0"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0"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0"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0"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0"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0"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0"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0"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0"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0"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0"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0"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0"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0"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0"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0"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0"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0"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0"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0"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0"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0"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0"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0"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0"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0"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0"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0"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0"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0"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0"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0"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0"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0"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0"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0"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0"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0"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0"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0"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0"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0"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0"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0"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0"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0"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0"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0"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0"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0"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0"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0"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0"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0"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0"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0"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0"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0"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0"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0"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0"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0"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0"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0"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0"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0"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0"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0"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0"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0"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0"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0"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0"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0"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0"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0"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0"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0"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0"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0"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0"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0"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0"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0"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0"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0"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0"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0"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0"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0"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0"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0"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0"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0"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0"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0"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0"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0"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0"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0"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0"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0"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0"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0"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0"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0"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0"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0"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0"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0"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0"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0"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0"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0"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printOptions/>
  <pageMargins bottom="0.75" footer="0.0" header="0.0" left="0.7" right="0.7" top="0.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88"/>
    <col customWidth="1" min="2" max="2" width="3.88"/>
    <col customWidth="1" min="3" max="3" width="10.75"/>
    <col customWidth="1" min="4" max="4" width="10.13"/>
    <col customWidth="1" min="5" max="5" width="6.88"/>
    <col customWidth="1" min="6" max="6" width="4.0"/>
    <col customWidth="1" min="7" max="7" width="6.5"/>
    <col customWidth="1" min="8" max="8" width="3.5"/>
    <col customWidth="1" min="9" max="9" width="6.5"/>
    <col customWidth="1" min="10" max="10" width="3.0"/>
    <col customWidth="1" min="11" max="11" width="8.13"/>
    <col customWidth="1" min="12" max="12" width="4.13"/>
    <col customWidth="1" min="13" max="13" width="6.25"/>
    <col customWidth="1" min="14" max="14" width="4.13"/>
    <col customWidth="1" min="15" max="15" width="5.0"/>
    <col customWidth="1" min="16" max="26" width="8.0"/>
  </cols>
  <sheetData>
    <row r="1" ht="12.0" customHeight="1">
      <c r="A1" s="17"/>
      <c r="B1" s="17"/>
      <c r="C1" s="17"/>
      <c r="D1" s="17"/>
      <c r="E1" s="17"/>
      <c r="F1" s="17"/>
      <c r="G1" s="17"/>
      <c r="H1" s="17"/>
      <c r="I1" s="17"/>
      <c r="J1" s="17"/>
      <c r="K1" s="17"/>
      <c r="L1" s="17"/>
      <c r="M1" s="17"/>
      <c r="N1" s="17"/>
      <c r="O1" s="17"/>
      <c r="P1" s="17"/>
      <c r="Q1" s="17"/>
      <c r="R1" s="17"/>
      <c r="S1" s="17"/>
      <c r="T1" s="17"/>
      <c r="U1" s="17"/>
      <c r="V1" s="17"/>
      <c r="W1" s="17"/>
      <c r="X1" s="17"/>
      <c r="Y1" s="17"/>
      <c r="Z1" s="17"/>
    </row>
    <row r="2" ht="12.0" customHeight="1">
      <c r="A2" s="17"/>
      <c r="B2" s="17"/>
      <c r="C2" s="17"/>
      <c r="D2" s="17"/>
      <c r="E2" s="17"/>
      <c r="F2" s="17"/>
      <c r="G2" s="17"/>
      <c r="H2" s="17"/>
      <c r="I2" s="17"/>
      <c r="J2" s="17"/>
      <c r="K2" s="17"/>
      <c r="L2" s="17"/>
      <c r="M2" s="17"/>
      <c r="N2" s="17"/>
      <c r="O2" s="17"/>
      <c r="P2" s="17"/>
      <c r="Q2" s="17"/>
      <c r="R2" s="17"/>
      <c r="S2" s="17"/>
      <c r="T2" s="17"/>
      <c r="U2" s="17"/>
      <c r="V2" s="17"/>
      <c r="W2" s="17"/>
      <c r="X2" s="17"/>
      <c r="Y2" s="17"/>
      <c r="Z2" s="17"/>
    </row>
    <row r="3" ht="12.0" customHeight="1">
      <c r="A3" s="17"/>
      <c r="B3" s="17"/>
      <c r="C3" s="17"/>
      <c r="D3" s="17"/>
      <c r="E3" s="17"/>
      <c r="F3" s="17"/>
      <c r="G3" s="17"/>
      <c r="H3" s="17"/>
      <c r="I3" s="17"/>
      <c r="J3" s="17"/>
      <c r="K3" s="17"/>
      <c r="L3" s="17"/>
      <c r="M3" s="17"/>
      <c r="N3" s="17"/>
      <c r="O3" s="17"/>
      <c r="P3" s="17"/>
      <c r="Q3" s="17"/>
      <c r="R3" s="17"/>
      <c r="S3" s="17"/>
      <c r="T3" s="17"/>
      <c r="U3" s="17"/>
      <c r="V3" s="17"/>
      <c r="W3" s="17"/>
      <c r="X3" s="17"/>
      <c r="Y3" s="17"/>
      <c r="Z3" s="17"/>
    </row>
    <row r="4" ht="12.0" customHeight="1">
      <c r="A4" s="17"/>
      <c r="B4" s="17"/>
      <c r="C4" s="17"/>
      <c r="D4" s="17"/>
      <c r="E4" s="17"/>
      <c r="F4" s="17"/>
      <c r="G4" s="17"/>
      <c r="H4" s="17"/>
      <c r="I4" s="17"/>
      <c r="J4" s="17"/>
      <c r="K4" s="17"/>
      <c r="L4" s="17"/>
      <c r="M4" s="17"/>
      <c r="N4" s="17"/>
      <c r="O4" s="17"/>
      <c r="P4" s="17"/>
      <c r="Q4" s="17"/>
      <c r="R4" s="17"/>
      <c r="S4" s="17"/>
      <c r="T4" s="17"/>
      <c r="U4" s="17"/>
      <c r="V4" s="17"/>
      <c r="W4" s="17"/>
      <c r="X4" s="17"/>
      <c r="Y4" s="17"/>
      <c r="Z4" s="17"/>
    </row>
    <row r="5" ht="12.0" customHeight="1">
      <c r="A5" s="17"/>
      <c r="B5" s="17"/>
      <c r="C5" s="17"/>
      <c r="D5" s="17"/>
      <c r="E5" s="17"/>
      <c r="F5" s="17"/>
      <c r="G5" s="17"/>
      <c r="H5" s="17"/>
      <c r="I5" s="17"/>
      <c r="J5" s="17"/>
      <c r="K5" s="17"/>
      <c r="L5" s="17"/>
      <c r="M5" s="17"/>
      <c r="N5" s="17"/>
      <c r="O5" s="17"/>
      <c r="P5" s="17"/>
      <c r="Q5" s="17"/>
      <c r="R5" s="17"/>
      <c r="S5" s="17"/>
      <c r="T5" s="17"/>
      <c r="U5" s="17"/>
      <c r="V5" s="17"/>
      <c r="W5" s="17"/>
      <c r="X5" s="17"/>
      <c r="Y5" s="17"/>
      <c r="Z5" s="17"/>
    </row>
    <row r="6" ht="12.75" customHeight="1">
      <c r="A6" s="15" t="s">
        <v>102</v>
      </c>
      <c r="B6" s="17"/>
      <c r="C6" s="17"/>
      <c r="D6" s="17"/>
      <c r="E6" s="17"/>
      <c r="F6" s="17"/>
      <c r="G6" s="17"/>
      <c r="H6" s="17"/>
      <c r="I6" s="17"/>
      <c r="J6" s="17"/>
      <c r="K6" s="17"/>
      <c r="L6" s="17"/>
      <c r="M6" s="17"/>
      <c r="N6" s="17"/>
      <c r="O6" s="17"/>
      <c r="P6" s="17"/>
      <c r="Q6" s="17"/>
      <c r="R6" s="17"/>
      <c r="S6" s="17"/>
      <c r="T6" s="17"/>
      <c r="U6" s="17"/>
      <c r="V6" s="17"/>
      <c r="W6" s="17"/>
      <c r="X6" s="17"/>
      <c r="Y6" s="17"/>
      <c r="Z6" s="17"/>
    </row>
    <row r="7" ht="12.75" customHeight="1">
      <c r="A7" s="17"/>
      <c r="B7" s="20" t="s">
        <v>54</v>
      </c>
      <c r="C7" s="19">
        <v>0.0</v>
      </c>
      <c r="D7" s="17" t="s">
        <v>55</v>
      </c>
      <c r="E7" s="17"/>
      <c r="F7" s="15"/>
      <c r="G7" s="17"/>
      <c r="H7" s="17"/>
      <c r="I7" s="17"/>
      <c r="J7" s="17"/>
      <c r="K7" s="17"/>
      <c r="L7" s="17"/>
      <c r="M7" s="17"/>
      <c r="N7" s="17"/>
      <c r="O7" s="17"/>
      <c r="P7" s="17"/>
      <c r="Q7" s="17"/>
      <c r="R7" s="17"/>
      <c r="S7" s="17"/>
      <c r="T7" s="17"/>
      <c r="U7" s="17"/>
      <c r="V7" s="17"/>
      <c r="W7" s="17"/>
      <c r="X7" s="17"/>
      <c r="Y7" s="17"/>
      <c r="Z7" s="17"/>
    </row>
    <row r="8" ht="12.75" customHeight="1">
      <c r="A8" s="17"/>
      <c r="B8" s="20" t="s">
        <v>56</v>
      </c>
      <c r="C8" s="19">
        <v>15.0892</v>
      </c>
      <c r="D8" s="17" t="s">
        <v>55</v>
      </c>
      <c r="E8" s="17"/>
      <c r="F8" s="15"/>
      <c r="G8" s="17"/>
      <c r="H8" s="17"/>
      <c r="I8" s="17"/>
      <c r="J8" s="17"/>
      <c r="K8" s="17"/>
      <c r="L8" s="17"/>
      <c r="M8" s="17"/>
      <c r="N8" s="17"/>
      <c r="O8" s="17"/>
      <c r="P8" s="17"/>
      <c r="Q8" s="17"/>
      <c r="R8" s="17"/>
      <c r="S8" s="17"/>
      <c r="T8" s="17"/>
      <c r="U8" s="17"/>
      <c r="V8" s="17"/>
      <c r="W8" s="17"/>
      <c r="X8" s="17"/>
      <c r="Y8" s="17"/>
      <c r="Z8" s="17"/>
    </row>
    <row r="9" ht="12.0" customHeight="1">
      <c r="A9" s="17"/>
      <c r="B9" s="20" t="s">
        <v>57</v>
      </c>
      <c r="C9" s="19">
        <v>90.0094</v>
      </c>
      <c r="D9" s="17" t="s">
        <v>55</v>
      </c>
      <c r="E9" s="17"/>
      <c r="F9" s="17"/>
      <c r="G9" s="17"/>
      <c r="H9" s="17"/>
      <c r="I9" s="17"/>
      <c r="J9" s="17"/>
      <c r="K9" s="17"/>
      <c r="L9" s="17"/>
      <c r="M9" s="17"/>
      <c r="N9" s="17"/>
      <c r="O9" s="17"/>
      <c r="P9" s="17"/>
      <c r="Q9" s="17"/>
      <c r="R9" s="17"/>
      <c r="S9" s="17"/>
      <c r="T9" s="17"/>
      <c r="U9" s="17"/>
      <c r="V9" s="17"/>
      <c r="W9" s="17"/>
      <c r="X9" s="17"/>
      <c r="Y9" s="17"/>
      <c r="Z9" s="17"/>
    </row>
    <row r="10" ht="12.0" customHeight="1">
      <c r="A10" s="17"/>
      <c r="B10" s="20" t="s">
        <v>58</v>
      </c>
      <c r="C10" s="19">
        <v>224.9956</v>
      </c>
      <c r="D10" s="17" t="s">
        <v>55</v>
      </c>
      <c r="E10" s="17"/>
      <c r="F10" s="17"/>
      <c r="G10" s="17"/>
      <c r="H10" s="17"/>
      <c r="I10" s="17"/>
      <c r="J10" s="17"/>
      <c r="K10" s="17"/>
      <c r="L10" s="17"/>
      <c r="M10" s="17"/>
      <c r="N10" s="17"/>
      <c r="O10" s="17"/>
      <c r="P10" s="17"/>
      <c r="Q10" s="17"/>
      <c r="R10" s="17"/>
      <c r="S10" s="17"/>
      <c r="T10" s="17"/>
      <c r="U10" s="17"/>
      <c r="V10" s="17"/>
      <c r="W10" s="17"/>
      <c r="X10" s="17"/>
      <c r="Y10" s="17"/>
      <c r="Z10" s="17"/>
    </row>
    <row r="11" ht="12.0" customHeight="1">
      <c r="A11" s="17"/>
      <c r="B11" s="20" t="s">
        <v>94</v>
      </c>
      <c r="C11" s="19">
        <v>390.0025</v>
      </c>
      <c r="D11" s="17" t="s">
        <v>55</v>
      </c>
      <c r="E11" s="17"/>
      <c r="F11" s="17"/>
      <c r="G11" s="17"/>
      <c r="H11" s="17"/>
      <c r="I11" s="17"/>
      <c r="J11" s="17"/>
      <c r="K11" s="17"/>
      <c r="L11" s="17"/>
      <c r="M11" s="17"/>
      <c r="N11" s="17"/>
      <c r="O11" s="17"/>
      <c r="P11" s="17"/>
      <c r="Q11" s="17"/>
      <c r="R11" s="17"/>
      <c r="S11" s="17"/>
      <c r="T11" s="17"/>
      <c r="U11" s="17"/>
      <c r="V11" s="17"/>
      <c r="W11" s="17"/>
      <c r="X11" s="17"/>
      <c r="Y11" s="17"/>
      <c r="Z11" s="17"/>
    </row>
    <row r="12" ht="12.0" customHeight="1">
      <c r="A12" s="20"/>
      <c r="B12" s="20" t="s">
        <v>103</v>
      </c>
      <c r="C12" s="19">
        <v>495.0019</v>
      </c>
      <c r="D12" s="17" t="s">
        <v>55</v>
      </c>
      <c r="E12" s="17"/>
      <c r="F12" s="17"/>
      <c r="G12" s="17"/>
      <c r="H12" s="17"/>
      <c r="I12" s="17"/>
      <c r="J12" s="17"/>
      <c r="K12" s="17"/>
      <c r="L12" s="17"/>
      <c r="M12" s="17"/>
      <c r="N12" s="17"/>
      <c r="O12" s="17"/>
      <c r="P12" s="17"/>
      <c r="Q12" s="17"/>
      <c r="R12" s="17"/>
      <c r="S12" s="17"/>
      <c r="T12" s="17"/>
      <c r="U12" s="17"/>
      <c r="V12" s="17"/>
      <c r="W12" s="17"/>
      <c r="X12" s="17"/>
      <c r="Y12" s="17"/>
      <c r="Z12" s="17"/>
    </row>
    <row r="13" ht="12.0" customHeight="1">
      <c r="A13" s="20"/>
      <c r="B13" s="20" t="s">
        <v>104</v>
      </c>
      <c r="C13" s="19">
        <v>584.685</v>
      </c>
      <c r="D13" s="17" t="s">
        <v>55</v>
      </c>
      <c r="E13" s="17"/>
      <c r="F13" s="17"/>
      <c r="G13" s="17"/>
      <c r="H13" s="17"/>
      <c r="I13" s="17"/>
      <c r="J13" s="17"/>
      <c r="K13" s="17"/>
      <c r="L13" s="17"/>
      <c r="M13" s="17"/>
      <c r="N13" s="17"/>
      <c r="O13" s="17"/>
      <c r="P13" s="17"/>
      <c r="Q13" s="17"/>
      <c r="R13" s="17"/>
      <c r="S13" s="17"/>
      <c r="T13" s="17"/>
      <c r="U13" s="17"/>
      <c r="V13" s="17"/>
      <c r="W13" s="17"/>
      <c r="X13" s="17"/>
      <c r="Y13" s="17"/>
      <c r="Z13" s="17"/>
    </row>
    <row r="14" ht="12.0" customHeight="1">
      <c r="A14" s="17" t="s">
        <v>59</v>
      </c>
      <c r="B14" s="17"/>
      <c r="C14" s="6"/>
      <c r="D14" s="17"/>
      <c r="E14" s="17"/>
      <c r="F14" s="17"/>
      <c r="G14" s="17"/>
      <c r="H14" s="17"/>
      <c r="I14" s="17"/>
      <c r="J14" s="17"/>
      <c r="K14" s="17"/>
      <c r="L14" s="17"/>
      <c r="M14" s="17"/>
      <c r="N14" s="17"/>
      <c r="O14" s="17"/>
      <c r="P14" s="17"/>
      <c r="Q14" s="17"/>
      <c r="R14" s="17"/>
      <c r="S14" s="17"/>
      <c r="T14" s="17"/>
      <c r="U14" s="17"/>
      <c r="V14" s="17"/>
      <c r="W14" s="17"/>
      <c r="X14" s="17"/>
      <c r="Y14" s="17"/>
      <c r="Z14" s="17"/>
    </row>
    <row r="15" ht="12.0" customHeight="1">
      <c r="A15" s="17" t="s">
        <v>60</v>
      </c>
      <c r="B15" s="17"/>
      <c r="C15" s="24">
        <v>-1.0</v>
      </c>
      <c r="D15" s="17" t="s">
        <v>61</v>
      </c>
      <c r="E15" s="17"/>
      <c r="F15" s="17">
        <f>C15/1000</f>
        <v>-0.001</v>
      </c>
      <c r="G15" s="17" t="s">
        <v>62</v>
      </c>
      <c r="H15" s="17"/>
      <c r="I15" s="17"/>
      <c r="J15" s="17"/>
      <c r="K15" s="17"/>
      <c r="L15" s="17"/>
      <c r="M15" s="17"/>
      <c r="N15" s="17"/>
      <c r="O15" s="17"/>
      <c r="P15" s="17"/>
      <c r="Q15" s="17"/>
      <c r="R15" s="17"/>
      <c r="S15" s="17"/>
      <c r="T15" s="17"/>
      <c r="U15" s="17"/>
      <c r="V15" s="17"/>
      <c r="W15" s="17"/>
      <c r="X15" s="17"/>
      <c r="Y15" s="17"/>
      <c r="Z15" s="17"/>
    </row>
    <row r="16" ht="12.0" customHeight="1">
      <c r="A16" s="17" t="s">
        <v>63</v>
      </c>
      <c r="B16" s="17"/>
      <c r="C16" s="25">
        <v>-7.0</v>
      </c>
      <c r="D16" s="17" t="s">
        <v>64</v>
      </c>
      <c r="E16" s="17"/>
      <c r="F16" s="17">
        <f>C16/1000000</f>
        <v>-0.000007</v>
      </c>
      <c r="G16" s="17" t="s">
        <v>65</v>
      </c>
      <c r="H16" s="17"/>
      <c r="I16" s="17"/>
      <c r="J16" s="17"/>
      <c r="K16" s="17"/>
      <c r="L16" s="17"/>
      <c r="M16" s="17"/>
      <c r="N16" s="17"/>
      <c r="O16" s="17"/>
      <c r="P16" s="17"/>
      <c r="Q16" s="17"/>
      <c r="R16" s="17"/>
      <c r="S16" s="17"/>
      <c r="T16" s="17"/>
      <c r="U16" s="17"/>
      <c r="V16" s="17"/>
      <c r="W16" s="17"/>
      <c r="X16" s="17"/>
      <c r="Y16" s="17"/>
      <c r="Z16" s="17"/>
    </row>
    <row r="17" ht="12.0" customHeight="1">
      <c r="A17" s="17" t="s">
        <v>66</v>
      </c>
      <c r="B17" s="17"/>
      <c r="C17" s="26">
        <v>0.4</v>
      </c>
      <c r="D17" s="17" t="s">
        <v>67</v>
      </c>
      <c r="E17" s="26">
        <v>0.2</v>
      </c>
      <c r="F17" s="17" t="s">
        <v>64</v>
      </c>
      <c r="G17" s="17"/>
      <c r="H17" s="17"/>
      <c r="I17" s="17"/>
      <c r="J17" s="17"/>
      <c r="K17" s="17"/>
      <c r="L17" s="17"/>
      <c r="M17" s="17"/>
      <c r="N17" s="17"/>
      <c r="O17" s="17"/>
      <c r="P17" s="17"/>
      <c r="Q17" s="17"/>
      <c r="R17" s="17"/>
      <c r="S17" s="17"/>
      <c r="T17" s="17"/>
      <c r="U17" s="17"/>
      <c r="V17" s="17"/>
      <c r="W17" s="17"/>
      <c r="X17" s="17"/>
      <c r="Y17" s="17"/>
      <c r="Z17" s="17"/>
    </row>
    <row r="18" ht="12.75" customHeight="1">
      <c r="A18" s="15" t="s">
        <v>68</v>
      </c>
      <c r="B18" s="17"/>
      <c r="C18" s="17"/>
      <c r="D18" s="17"/>
      <c r="E18" s="17"/>
      <c r="F18" s="15"/>
      <c r="G18" s="17"/>
      <c r="H18" s="17"/>
      <c r="I18" s="17"/>
      <c r="J18" s="17"/>
      <c r="K18" s="17" t="s">
        <v>69</v>
      </c>
      <c r="L18" s="17"/>
      <c r="M18" s="17"/>
      <c r="N18" s="17"/>
      <c r="O18" s="17"/>
      <c r="P18" s="17"/>
      <c r="Q18" s="17"/>
      <c r="R18" s="17"/>
      <c r="S18" s="17"/>
      <c r="T18" s="17"/>
      <c r="U18" s="17"/>
      <c r="V18" s="17"/>
      <c r="W18" s="17"/>
      <c r="X18" s="17"/>
      <c r="Y18" s="17"/>
      <c r="Z18" s="17"/>
    </row>
    <row r="19" ht="12.75" customHeight="1">
      <c r="A19" s="27" t="s">
        <v>16</v>
      </c>
      <c r="B19" s="17" t="s">
        <v>17</v>
      </c>
      <c r="C19" s="17" t="s">
        <v>70</v>
      </c>
      <c r="D19" s="17" t="s">
        <v>71</v>
      </c>
      <c r="E19" s="17" t="s">
        <v>72</v>
      </c>
      <c r="F19" s="15" t="s">
        <v>73</v>
      </c>
      <c r="G19" s="17"/>
      <c r="H19" s="17"/>
      <c r="I19" s="20" t="s">
        <v>74</v>
      </c>
      <c r="J19" s="17"/>
      <c r="K19" s="20" t="s">
        <v>75</v>
      </c>
      <c r="L19" s="17"/>
      <c r="M19" s="20" t="s">
        <v>76</v>
      </c>
      <c r="N19" s="17"/>
      <c r="O19" s="17"/>
      <c r="P19" s="17"/>
      <c r="Q19" s="17"/>
      <c r="R19" s="17"/>
      <c r="S19" s="17"/>
      <c r="T19" s="17"/>
      <c r="U19" s="17"/>
      <c r="V19" s="17"/>
      <c r="W19" s="17"/>
      <c r="X19" s="17"/>
      <c r="Y19" s="17"/>
      <c r="Z19" s="17"/>
    </row>
    <row r="20" ht="12.0" customHeight="1">
      <c r="A20" s="18">
        <v>1.0</v>
      </c>
      <c r="B20" s="17">
        <v>2.0</v>
      </c>
      <c r="C20" s="6">
        <v>15.0899</v>
      </c>
      <c r="D20" s="22">
        <f>C8-C7</f>
        <v>15.0892</v>
      </c>
      <c r="E20" s="28">
        <f t="shared" ref="E20:E40" si="1">C$17+E$17*D20/1000</f>
        <v>0.40301784</v>
      </c>
      <c r="F20" s="29">
        <f t="shared" ref="F20:F40" si="2">-1/E20</f>
        <v>-2.481279737</v>
      </c>
      <c r="G20" s="30">
        <f t="shared" ref="G20:G40" si="3">-(D20/1000)/E20</f>
        <v>-0.03744052621</v>
      </c>
      <c r="H20" s="17"/>
      <c r="I20" s="29">
        <f t="shared" ref="I20:I40" si="4">-1000*(D20-F$15-F$16*D20-C20)/E20</f>
        <v>-1.006467605</v>
      </c>
      <c r="J20" s="17"/>
      <c r="K20" s="29">
        <f t="shared" ref="K20:K40" si="5">M20*E20</f>
        <v>0.1789902294</v>
      </c>
      <c r="L20" s="29"/>
      <c r="M20" s="31">
        <f t="array" ref="M20:M40">MMULT(F20:G40,G44:G45)-I20:I40</f>
        <v>0.4441248294</v>
      </c>
      <c r="N20" s="17"/>
      <c r="O20" s="17"/>
      <c r="P20" s="17"/>
      <c r="Q20" s="17"/>
      <c r="R20" s="17"/>
      <c r="S20" s="17"/>
      <c r="T20" s="17"/>
      <c r="U20" s="17"/>
      <c r="V20" s="17"/>
      <c r="W20" s="17"/>
      <c r="X20" s="17"/>
      <c r="Y20" s="17"/>
      <c r="Z20" s="17"/>
    </row>
    <row r="21" ht="12.0" customHeight="1">
      <c r="A21" s="18">
        <v>1.0</v>
      </c>
      <c r="B21" s="17">
        <v>3.0</v>
      </c>
      <c r="C21" s="6">
        <v>90.0105</v>
      </c>
      <c r="D21" s="22">
        <f>C9-C7</f>
        <v>90.0094</v>
      </c>
      <c r="E21" s="28">
        <f t="shared" si="1"/>
        <v>0.41800188</v>
      </c>
      <c r="F21" s="29">
        <f t="shared" si="2"/>
        <v>-2.392333738</v>
      </c>
      <c r="G21" s="30">
        <f t="shared" si="3"/>
        <v>-0.2153325243</v>
      </c>
      <c r="H21" s="17"/>
      <c r="I21" s="29">
        <f t="shared" si="4"/>
        <v>-1.268094297</v>
      </c>
      <c r="J21" s="17"/>
      <c r="K21" s="29">
        <f t="shared" si="5"/>
        <v>0.3319002266</v>
      </c>
      <c r="L21" s="29"/>
      <c r="M21" s="31">
        <v>0.7940161095756468</v>
      </c>
      <c r="N21" s="17"/>
      <c r="O21" s="17"/>
      <c r="P21" s="17"/>
      <c r="Q21" s="17"/>
      <c r="R21" s="17"/>
      <c r="S21" s="17"/>
      <c r="T21" s="17"/>
      <c r="U21" s="17"/>
      <c r="V21" s="17"/>
      <c r="W21" s="17"/>
      <c r="X21" s="17"/>
      <c r="Y21" s="17"/>
      <c r="Z21" s="17"/>
    </row>
    <row r="22" ht="12.0" customHeight="1">
      <c r="A22" s="18">
        <v>1.0</v>
      </c>
      <c r="B22" s="17">
        <v>4.0</v>
      </c>
      <c r="C22" s="6">
        <v>224.9981</v>
      </c>
      <c r="D22" s="22">
        <f>C10-C7</f>
        <v>224.9956</v>
      </c>
      <c r="E22" s="28">
        <f t="shared" si="1"/>
        <v>0.44499912</v>
      </c>
      <c r="F22" s="29">
        <f t="shared" si="2"/>
        <v>-2.247195455</v>
      </c>
      <c r="G22" s="30">
        <f t="shared" si="3"/>
        <v>-0.5056090897</v>
      </c>
      <c r="H22" s="17"/>
      <c r="I22" s="29">
        <f t="shared" si="4"/>
        <v>-0.1684704455</v>
      </c>
      <c r="J22" s="17"/>
      <c r="K22" s="29">
        <f t="shared" si="5"/>
        <v>-0.07190356133</v>
      </c>
      <c r="L22" s="29"/>
      <c r="M22" s="31">
        <v>-0.16158135622593378</v>
      </c>
      <c r="N22" s="17"/>
      <c r="O22" s="17"/>
      <c r="P22" s="17"/>
      <c r="Q22" s="17"/>
      <c r="R22" s="17"/>
      <c r="S22" s="17"/>
      <c r="T22" s="17"/>
      <c r="U22" s="17"/>
      <c r="V22" s="17"/>
      <c r="W22" s="17"/>
      <c r="X22" s="17"/>
      <c r="Y22" s="17"/>
      <c r="Z22" s="17"/>
    </row>
    <row r="23" ht="12.0" customHeight="1">
      <c r="A23" s="18">
        <v>1.0</v>
      </c>
      <c r="B23" s="17">
        <v>5.0</v>
      </c>
      <c r="C23" s="6">
        <v>390.0063</v>
      </c>
      <c r="D23" s="22">
        <f>C11-C7</f>
        <v>390.0025</v>
      </c>
      <c r="E23" s="28">
        <f t="shared" si="1"/>
        <v>0.4780005</v>
      </c>
      <c r="F23" s="29">
        <f t="shared" si="2"/>
        <v>-2.092048021</v>
      </c>
      <c r="G23" s="30">
        <f t="shared" si="3"/>
        <v>-0.8159039583</v>
      </c>
      <c r="H23" s="17"/>
      <c r="I23" s="29">
        <f t="shared" si="4"/>
        <v>0.1464067506</v>
      </c>
      <c r="J23" s="17"/>
      <c r="K23" s="29">
        <f t="shared" si="5"/>
        <v>-0.1541550155</v>
      </c>
      <c r="L23" s="29"/>
      <c r="M23" s="31">
        <v>-0.32249969514011195</v>
      </c>
      <c r="N23" s="17"/>
      <c r="O23" s="17"/>
      <c r="P23" s="17"/>
      <c r="Q23" s="17"/>
      <c r="R23" s="17"/>
      <c r="S23" s="17"/>
      <c r="T23" s="17"/>
      <c r="U23" s="17"/>
      <c r="V23" s="17"/>
      <c r="W23" s="17"/>
      <c r="X23" s="17"/>
      <c r="Y23" s="17"/>
      <c r="Z23" s="17"/>
    </row>
    <row r="24" ht="12.0" customHeight="1">
      <c r="A24" s="18">
        <v>1.0</v>
      </c>
      <c r="B24" s="17">
        <v>6.0</v>
      </c>
      <c r="C24" s="6">
        <v>495.0065</v>
      </c>
      <c r="D24" s="22">
        <f>C12-C7</f>
        <v>495.0019</v>
      </c>
      <c r="E24" s="28">
        <f t="shared" si="1"/>
        <v>0.49900038</v>
      </c>
      <c r="F24" s="29">
        <f t="shared" si="2"/>
        <v>-2.00400649</v>
      </c>
      <c r="G24" s="30">
        <f t="shared" si="3"/>
        <v>-0.9919870201</v>
      </c>
      <c r="H24" s="17"/>
      <c r="I24" s="29">
        <f t="shared" si="4"/>
        <v>0.270514223</v>
      </c>
      <c r="J24" s="17"/>
      <c r="K24" s="29">
        <f t="shared" si="5"/>
        <v>-0.1792609556</v>
      </c>
      <c r="L24" s="29"/>
      <c r="M24" s="31">
        <v>-0.35924011847156345</v>
      </c>
      <c r="N24" s="17"/>
      <c r="O24" s="17"/>
      <c r="P24" s="17"/>
      <c r="Q24" s="17"/>
      <c r="R24" s="17"/>
      <c r="S24" s="17"/>
      <c r="T24" s="17"/>
      <c r="U24" s="17"/>
      <c r="V24" s="17"/>
      <c r="W24" s="17"/>
      <c r="X24" s="17"/>
      <c r="Y24" s="17"/>
      <c r="Z24" s="17"/>
    </row>
    <row r="25" ht="12.0" customHeight="1">
      <c r="A25" s="18">
        <v>1.0</v>
      </c>
      <c r="B25" s="17">
        <v>7.0</v>
      </c>
      <c r="C25" s="6">
        <v>584.6902</v>
      </c>
      <c r="D25" s="22">
        <f>C13-C7</f>
        <v>584.685</v>
      </c>
      <c r="E25" s="28">
        <f t="shared" si="1"/>
        <v>0.516937</v>
      </c>
      <c r="F25" s="29">
        <f t="shared" si="2"/>
        <v>-1.934471705</v>
      </c>
      <c r="G25" s="30">
        <f t="shared" si="3"/>
        <v>-1.131056589</v>
      </c>
      <c r="H25" s="17"/>
      <c r="I25" s="29">
        <f t="shared" si="4"/>
        <v>0.2073850393</v>
      </c>
      <c r="J25" s="17"/>
      <c r="K25" s="29">
        <f t="shared" si="5"/>
        <v>-0.1174009691</v>
      </c>
      <c r="L25" s="29"/>
      <c r="M25" s="31">
        <v>-0.22710885294717434</v>
      </c>
      <c r="N25" s="17"/>
      <c r="O25" s="17"/>
      <c r="P25" s="17"/>
      <c r="Q25" s="17"/>
      <c r="R25" s="17"/>
      <c r="S25" s="17"/>
      <c r="T25" s="17"/>
      <c r="U25" s="17"/>
      <c r="V25" s="17"/>
      <c r="W25" s="17"/>
      <c r="X25" s="17"/>
      <c r="Y25" s="17"/>
      <c r="Z25" s="17"/>
    </row>
    <row r="26" ht="12.0" customHeight="1">
      <c r="A26" s="18">
        <v>2.0</v>
      </c>
      <c r="B26" s="17">
        <v>3.0</v>
      </c>
      <c r="C26" s="6">
        <v>74.9225</v>
      </c>
      <c r="D26" s="22">
        <f>C9-C8</f>
        <v>74.9202</v>
      </c>
      <c r="E26" s="28">
        <f t="shared" si="1"/>
        <v>0.41498404</v>
      </c>
      <c r="F26" s="29">
        <f t="shared" si="2"/>
        <v>-2.409731227</v>
      </c>
      <c r="G26" s="30">
        <f t="shared" si="3"/>
        <v>-0.1805375455</v>
      </c>
      <c r="H26" s="17"/>
      <c r="I26" s="29">
        <f t="shared" si="4"/>
        <v>1.868887777</v>
      </c>
      <c r="J26" s="17"/>
      <c r="K26" s="29">
        <f t="shared" si="5"/>
        <v>-0.9794578522</v>
      </c>
      <c r="L26" s="29"/>
      <c r="M26" s="31">
        <v>-2.360230172125166</v>
      </c>
      <c r="N26" s="17"/>
      <c r="O26" s="17"/>
      <c r="P26" s="17"/>
      <c r="Q26" s="17"/>
      <c r="R26" s="17"/>
      <c r="S26" s="17"/>
      <c r="T26" s="17"/>
      <c r="U26" s="17"/>
      <c r="V26" s="17"/>
      <c r="W26" s="17"/>
      <c r="X26" s="17"/>
      <c r="Y26" s="17"/>
      <c r="Z26" s="17"/>
    </row>
    <row r="27" ht="12.0" customHeight="1">
      <c r="A27" s="18">
        <v>2.0</v>
      </c>
      <c r="B27" s="17">
        <v>4.0</v>
      </c>
      <c r="C27" s="6">
        <v>209.9084</v>
      </c>
      <c r="D27" s="22">
        <f>C10-C8</f>
        <v>209.9064</v>
      </c>
      <c r="E27" s="28">
        <f t="shared" si="1"/>
        <v>0.44198128</v>
      </c>
      <c r="F27" s="29">
        <f t="shared" si="2"/>
        <v>-2.262539264</v>
      </c>
      <c r="G27" s="30">
        <f t="shared" si="3"/>
        <v>-0.4749214718</v>
      </c>
      <c r="H27" s="17"/>
      <c r="I27" s="29">
        <f t="shared" si="4"/>
        <v>-1.061911038</v>
      </c>
      <c r="J27" s="17"/>
      <c r="K27" s="29">
        <f t="shared" si="5"/>
        <v>0.31673836</v>
      </c>
      <c r="L27" s="29"/>
      <c r="M27" s="31">
        <v>0.7166329758566702</v>
      </c>
      <c r="N27" s="17"/>
      <c r="O27" s="17"/>
      <c r="P27" s="17"/>
      <c r="Q27" s="17"/>
      <c r="R27" s="17"/>
      <c r="S27" s="17"/>
      <c r="T27" s="17"/>
      <c r="U27" s="17"/>
      <c r="V27" s="17"/>
      <c r="W27" s="17"/>
      <c r="X27" s="17"/>
      <c r="Y27" s="17"/>
      <c r="Z27" s="17"/>
    </row>
    <row r="28" ht="12.0" customHeight="1">
      <c r="A28" s="18">
        <v>2.0</v>
      </c>
      <c r="B28" s="17">
        <v>5.0</v>
      </c>
      <c r="C28" s="6">
        <v>374.9168</v>
      </c>
      <c r="D28" s="22">
        <f>C11-C8</f>
        <v>374.9133</v>
      </c>
      <c r="E28" s="28">
        <f t="shared" si="1"/>
        <v>0.47498266</v>
      </c>
      <c r="F28" s="29">
        <f t="shared" si="2"/>
        <v>-2.105340014</v>
      </c>
      <c r="G28" s="30">
        <f t="shared" si="3"/>
        <v>-0.7893199722</v>
      </c>
      <c r="H28" s="17"/>
      <c r="I28" s="29">
        <f t="shared" si="4"/>
        <v>-0.2618897708</v>
      </c>
      <c r="J28" s="17"/>
      <c r="K28" s="29">
        <f t="shared" si="5"/>
        <v>0.03448690573</v>
      </c>
      <c r="L28" s="29"/>
      <c r="M28" s="31">
        <v>0.07260666258091447</v>
      </c>
      <c r="N28" s="17"/>
      <c r="O28" s="17"/>
      <c r="P28" s="17"/>
      <c r="Q28" s="17"/>
      <c r="R28" s="17"/>
      <c r="S28" s="17"/>
      <c r="T28" s="17"/>
      <c r="U28" s="17"/>
      <c r="V28" s="17"/>
      <c r="W28" s="17"/>
      <c r="X28" s="17"/>
      <c r="Y28" s="17"/>
      <c r="Z28" s="17"/>
    </row>
    <row r="29" ht="12.0" customHeight="1">
      <c r="A29" s="18">
        <v>2.0</v>
      </c>
      <c r="B29" s="17">
        <v>6.0</v>
      </c>
      <c r="C29" s="6">
        <v>479.9163</v>
      </c>
      <c r="D29" s="22">
        <f>C12-C8</f>
        <v>479.9127</v>
      </c>
      <c r="E29" s="28">
        <f t="shared" si="1"/>
        <v>0.49598254</v>
      </c>
      <c r="F29" s="29">
        <f t="shared" si="2"/>
        <v>-2.016200006</v>
      </c>
      <c r="G29" s="30">
        <f t="shared" si="3"/>
        <v>-0.9675999885</v>
      </c>
      <c r="H29" s="17"/>
      <c r="I29" s="29">
        <f t="shared" si="4"/>
        <v>-1.531079904</v>
      </c>
      <c r="J29" s="17"/>
      <c r="K29" s="29">
        <f t="shared" si="5"/>
        <v>0.7093809657</v>
      </c>
      <c r="L29" s="29"/>
      <c r="M29" s="31">
        <v>1.4302539070757017</v>
      </c>
      <c r="N29" s="17"/>
      <c r="O29" s="17"/>
      <c r="P29" s="17"/>
      <c r="Q29" s="17"/>
      <c r="R29" s="17"/>
      <c r="S29" s="17"/>
      <c r="T29" s="17"/>
      <c r="U29" s="17"/>
      <c r="V29" s="17"/>
      <c r="W29" s="17"/>
      <c r="X29" s="17"/>
      <c r="Y29" s="17"/>
      <c r="Z29" s="17"/>
    </row>
    <row r="30" ht="12.0" customHeight="1">
      <c r="A30" s="18">
        <v>2.0</v>
      </c>
      <c r="B30" s="17">
        <v>7.0</v>
      </c>
      <c r="C30" s="6">
        <v>569.6001</v>
      </c>
      <c r="D30" s="22">
        <f>C13-C8</f>
        <v>569.5958</v>
      </c>
      <c r="E30" s="28">
        <f t="shared" si="1"/>
        <v>0.51391916</v>
      </c>
      <c r="F30" s="29">
        <f t="shared" si="2"/>
        <v>-1.945831325</v>
      </c>
      <c r="G30" s="30">
        <f t="shared" si="3"/>
        <v>-1.10833735</v>
      </c>
      <c r="H30" s="17"/>
      <c r="I30" s="29">
        <f t="shared" si="4"/>
        <v>-1.337118079</v>
      </c>
      <c r="J30" s="17"/>
      <c r="K30" s="29">
        <f t="shared" si="5"/>
        <v>0.6712409522</v>
      </c>
      <c r="L30" s="29"/>
      <c r="M30" s="31">
        <v>1.3061216712706152</v>
      </c>
      <c r="N30" s="17"/>
      <c r="O30" s="17"/>
      <c r="P30" s="17"/>
      <c r="Q30" s="17"/>
      <c r="R30" s="17"/>
      <c r="S30" s="17"/>
      <c r="T30" s="17"/>
      <c r="U30" s="17"/>
      <c r="V30" s="17"/>
      <c r="W30" s="17"/>
      <c r="X30" s="17"/>
      <c r="Y30" s="17"/>
      <c r="Z30" s="17"/>
    </row>
    <row r="31" ht="12.0" customHeight="1">
      <c r="A31" s="18">
        <v>3.0</v>
      </c>
      <c r="B31" s="17">
        <v>4.0</v>
      </c>
      <c r="C31" s="6">
        <v>134.9881</v>
      </c>
      <c r="D31" s="22">
        <f>C10-C9</f>
        <v>134.9862</v>
      </c>
      <c r="E31" s="28">
        <f t="shared" si="1"/>
        <v>0.42699724</v>
      </c>
      <c r="F31" s="29">
        <f t="shared" si="2"/>
        <v>-2.341935512</v>
      </c>
      <c r="G31" s="30">
        <f t="shared" si="3"/>
        <v>-0.3161289754</v>
      </c>
      <c r="H31" s="17"/>
      <c r="I31" s="29">
        <f t="shared" si="4"/>
        <v>-0.1051608671</v>
      </c>
      <c r="J31" s="17"/>
      <c r="K31" s="29">
        <f t="shared" si="5"/>
        <v>-0.1361716371</v>
      </c>
      <c r="L31" s="29"/>
      <c r="M31" s="31">
        <v>-0.31890519277000956</v>
      </c>
      <c r="N31" s="17"/>
      <c r="O31" s="17"/>
      <c r="P31" s="17"/>
      <c r="Q31" s="17"/>
      <c r="R31" s="17"/>
      <c r="S31" s="17"/>
      <c r="T31" s="17"/>
      <c r="U31" s="17"/>
      <c r="V31" s="17"/>
      <c r="W31" s="17"/>
      <c r="X31" s="17"/>
      <c r="Y31" s="17"/>
      <c r="Z31" s="17"/>
    </row>
    <row r="32" ht="12.0" customHeight="1">
      <c r="A32" s="18">
        <v>3.0</v>
      </c>
      <c r="B32" s="17">
        <v>5.0</v>
      </c>
      <c r="C32" s="6">
        <v>299.9959</v>
      </c>
      <c r="D32" s="22">
        <f>C11-C9</f>
        <v>299.9931</v>
      </c>
      <c r="E32" s="28">
        <f t="shared" si="1"/>
        <v>0.45999862</v>
      </c>
      <c r="F32" s="29">
        <f t="shared" si="2"/>
        <v>-2.173919565</v>
      </c>
      <c r="G32" s="30">
        <f t="shared" si="3"/>
        <v>-0.6521608695</v>
      </c>
      <c r="H32" s="17"/>
      <c r="I32" s="29">
        <f t="shared" si="4"/>
        <v>-0.6520708693</v>
      </c>
      <c r="J32" s="17"/>
      <c r="K32" s="29">
        <f t="shared" si="5"/>
        <v>0.1815769087</v>
      </c>
      <c r="L32" s="29"/>
      <c r="M32" s="31">
        <v>0.3947335943767454</v>
      </c>
      <c r="N32" s="17"/>
      <c r="O32" s="17"/>
      <c r="P32" s="17"/>
      <c r="Q32" s="17"/>
      <c r="R32" s="17"/>
      <c r="S32" s="17"/>
      <c r="T32" s="17"/>
      <c r="U32" s="17"/>
      <c r="V32" s="17"/>
      <c r="W32" s="17"/>
      <c r="X32" s="17"/>
      <c r="Y32" s="17"/>
      <c r="Z32" s="17"/>
    </row>
    <row r="33" ht="12.0" customHeight="1">
      <c r="A33" s="18">
        <v>3.0</v>
      </c>
      <c r="B33" s="17">
        <v>6.0</v>
      </c>
      <c r="C33" s="19">
        <v>404.997</v>
      </c>
      <c r="D33" s="22">
        <f>C12-C9</f>
        <v>404.9925</v>
      </c>
      <c r="E33" s="28">
        <f t="shared" si="1"/>
        <v>0.4809985</v>
      </c>
      <c r="F33" s="29">
        <f t="shared" si="2"/>
        <v>-2.079008562</v>
      </c>
      <c r="G33" s="30">
        <f t="shared" si="3"/>
        <v>-0.8419828752</v>
      </c>
      <c r="H33" s="17"/>
      <c r="I33" s="29">
        <f t="shared" si="4"/>
        <v>1.382649842</v>
      </c>
      <c r="J33" s="17"/>
      <c r="K33" s="29">
        <f t="shared" si="5"/>
        <v>-0.7435290315</v>
      </c>
      <c r="L33" s="29"/>
      <c r="M33" s="31">
        <v>-1.5458032228356016</v>
      </c>
      <c r="N33" s="17"/>
      <c r="O33" s="17"/>
      <c r="P33" s="17"/>
      <c r="Q33" s="17"/>
      <c r="R33" s="17"/>
      <c r="S33" s="17"/>
      <c r="T33" s="17"/>
      <c r="U33" s="17"/>
      <c r="V33" s="17"/>
      <c r="W33" s="17"/>
      <c r="X33" s="17"/>
      <c r="Y33" s="17"/>
      <c r="Z33" s="17"/>
    </row>
    <row r="34" ht="12.0" customHeight="1">
      <c r="A34" s="18">
        <v>3.0</v>
      </c>
      <c r="B34" s="17">
        <v>7.0</v>
      </c>
      <c r="C34" s="6">
        <v>494.6803</v>
      </c>
      <c r="D34" s="22">
        <f>C13-C9</f>
        <v>494.6756</v>
      </c>
      <c r="E34" s="28">
        <f t="shared" si="1"/>
        <v>0.49893512</v>
      </c>
      <c r="F34" s="29">
        <f t="shared" si="2"/>
        <v>-2.004268611</v>
      </c>
      <c r="G34" s="30">
        <f t="shared" si="3"/>
        <v>-0.9914627778</v>
      </c>
      <c r="H34" s="17"/>
      <c r="I34" s="29">
        <f t="shared" si="4"/>
        <v>0.4755544169</v>
      </c>
      <c r="J34" s="17"/>
      <c r="K34" s="29">
        <f t="shared" si="5"/>
        <v>-0.281669045</v>
      </c>
      <c r="L34" s="29"/>
      <c r="M34" s="31">
        <v>-0.5645404255230816</v>
      </c>
      <c r="N34" s="17"/>
      <c r="O34" s="17"/>
      <c r="P34" s="17"/>
      <c r="Q34" s="17"/>
      <c r="R34" s="17"/>
      <c r="S34" s="17"/>
      <c r="T34" s="17"/>
      <c r="U34" s="17"/>
      <c r="V34" s="17"/>
      <c r="W34" s="17"/>
      <c r="X34" s="17"/>
      <c r="Y34" s="17"/>
      <c r="Z34" s="17"/>
    </row>
    <row r="35" ht="12.0" customHeight="1">
      <c r="A35" s="18">
        <v>4.0</v>
      </c>
      <c r="B35" s="17">
        <v>5.0</v>
      </c>
      <c r="C35" s="6">
        <v>165.0088</v>
      </c>
      <c r="D35" s="22">
        <f>C11-C10</f>
        <v>165.0069</v>
      </c>
      <c r="E35" s="28">
        <f t="shared" si="1"/>
        <v>0.43300138</v>
      </c>
      <c r="F35" s="29">
        <f t="shared" si="2"/>
        <v>-2.309461462</v>
      </c>
      <c r="G35" s="30">
        <f t="shared" si="3"/>
        <v>-0.3810770765</v>
      </c>
      <c r="H35" s="17"/>
      <c r="I35" s="29">
        <f t="shared" si="4"/>
        <v>-0.5890242197</v>
      </c>
      <c r="J35" s="17"/>
      <c r="K35" s="29">
        <f t="shared" si="5"/>
        <v>0.08538069655</v>
      </c>
      <c r="L35" s="29"/>
      <c r="M35" s="31">
        <v>0.19718342825188662</v>
      </c>
      <c r="N35" s="17"/>
      <c r="O35" s="17"/>
      <c r="P35" s="17"/>
      <c r="Q35" s="17"/>
      <c r="R35" s="17"/>
      <c r="S35" s="17"/>
      <c r="T35" s="17"/>
      <c r="U35" s="17"/>
      <c r="V35" s="17"/>
      <c r="W35" s="17"/>
      <c r="X35" s="17"/>
      <c r="Y35" s="17"/>
      <c r="Z35" s="17"/>
    </row>
    <row r="36" ht="12.0" customHeight="1">
      <c r="A36" s="18">
        <v>4.0</v>
      </c>
      <c r="B36" s="17">
        <v>6.0</v>
      </c>
      <c r="C36" s="6">
        <v>270.0086</v>
      </c>
      <c r="D36" s="22">
        <f>C12-C10</f>
        <v>270.0063</v>
      </c>
      <c r="E36" s="28">
        <f t="shared" si="1"/>
        <v>0.45400126</v>
      </c>
      <c r="F36" s="29">
        <f t="shared" si="2"/>
        <v>-2.202637059</v>
      </c>
      <c r="G36" s="30">
        <f t="shared" si="3"/>
        <v>-0.5947258825</v>
      </c>
      <c r="H36" s="17"/>
      <c r="I36" s="29">
        <f t="shared" si="4"/>
        <v>-1.299653001</v>
      </c>
      <c r="J36" s="17"/>
      <c r="K36" s="29">
        <f t="shared" si="5"/>
        <v>0.4602747565</v>
      </c>
      <c r="L36" s="29"/>
      <c r="M36" s="31">
        <v>1.0138182357858267</v>
      </c>
      <c r="N36" s="17"/>
      <c r="O36" s="17"/>
      <c r="P36" s="17"/>
      <c r="Q36" s="17"/>
      <c r="R36" s="17"/>
      <c r="S36" s="17"/>
      <c r="T36" s="17"/>
      <c r="U36" s="17"/>
      <c r="V36" s="17"/>
      <c r="W36" s="17"/>
      <c r="X36" s="17"/>
      <c r="Y36" s="17"/>
      <c r="Z36" s="17"/>
    </row>
    <row r="37" ht="12.0" customHeight="1">
      <c r="A37" s="18">
        <v>4.0</v>
      </c>
      <c r="B37" s="17">
        <v>7.0</v>
      </c>
      <c r="C37" s="6">
        <v>359.6936</v>
      </c>
      <c r="D37" s="22">
        <f>C13-C10</f>
        <v>359.6894</v>
      </c>
      <c r="E37" s="28">
        <f t="shared" si="1"/>
        <v>0.47193788</v>
      </c>
      <c r="F37" s="29">
        <f t="shared" si="2"/>
        <v>-2.11892294</v>
      </c>
      <c r="G37" s="30">
        <f t="shared" si="3"/>
        <v>-0.7621541208</v>
      </c>
      <c r="H37" s="17"/>
      <c r="I37" s="29">
        <f t="shared" si="4"/>
        <v>1.445474561</v>
      </c>
      <c r="J37" s="17"/>
      <c r="K37" s="29">
        <f t="shared" si="5"/>
        <v>-0.777865257</v>
      </c>
      <c r="L37" s="29"/>
      <c r="M37" s="31">
        <v>-1.6482365370721874</v>
      </c>
      <c r="N37" s="17"/>
      <c r="O37" s="17"/>
      <c r="P37" s="17"/>
      <c r="Q37" s="17"/>
      <c r="R37" s="17"/>
      <c r="S37" s="17"/>
      <c r="T37" s="17"/>
      <c r="U37" s="17"/>
      <c r="V37" s="17"/>
      <c r="W37" s="17"/>
      <c r="X37" s="17"/>
      <c r="Y37" s="17"/>
      <c r="Z37" s="17"/>
    </row>
    <row r="38" ht="12.0" customHeight="1">
      <c r="A38" s="18">
        <v>5.0</v>
      </c>
      <c r="B38" s="17">
        <v>6.0</v>
      </c>
      <c r="C38" s="6">
        <v>105.0009</v>
      </c>
      <c r="D38" s="22">
        <f>C12-C11</f>
        <v>104.9994</v>
      </c>
      <c r="E38" s="28">
        <f t="shared" si="1"/>
        <v>0.42099988</v>
      </c>
      <c r="F38" s="29">
        <f t="shared" si="2"/>
        <v>-2.375297589</v>
      </c>
      <c r="G38" s="30">
        <f t="shared" si="3"/>
        <v>-0.2494048217</v>
      </c>
      <c r="H38" s="17"/>
      <c r="I38" s="29">
        <f t="shared" si="4"/>
        <v>-0.5581849572</v>
      </c>
      <c r="J38" s="17"/>
      <c r="K38" s="29">
        <f t="shared" si="5"/>
        <v>0.04252621067</v>
      </c>
      <c r="L38" s="29"/>
      <c r="M38" s="31">
        <v>0.10101240567441455</v>
      </c>
      <c r="N38" s="17"/>
      <c r="O38" s="17"/>
      <c r="P38" s="17"/>
      <c r="Q38" s="17"/>
      <c r="R38" s="17"/>
      <c r="S38" s="17"/>
      <c r="T38" s="17"/>
      <c r="U38" s="17"/>
      <c r="V38" s="17"/>
      <c r="W38" s="17"/>
      <c r="X38" s="17"/>
      <c r="Y38" s="17"/>
      <c r="Z38" s="17"/>
    </row>
    <row r="39" ht="12.0" customHeight="1">
      <c r="A39" s="18">
        <v>5.0</v>
      </c>
      <c r="B39" s="17">
        <v>7.0</v>
      </c>
      <c r="C39" s="6">
        <v>194.6847</v>
      </c>
      <c r="D39" s="22">
        <f>C13-C11</f>
        <v>194.6825</v>
      </c>
      <c r="E39" s="28">
        <f t="shared" si="1"/>
        <v>0.4389365</v>
      </c>
      <c r="F39" s="29">
        <f t="shared" si="2"/>
        <v>-2.278233868</v>
      </c>
      <c r="G39" s="30">
        <f t="shared" si="3"/>
        <v>-0.4435322649</v>
      </c>
      <c r="H39" s="17"/>
      <c r="I39" s="29">
        <f t="shared" si="4"/>
        <v>-0.3708452133</v>
      </c>
      <c r="J39" s="17"/>
      <c r="K39" s="29">
        <f t="shared" si="5"/>
        <v>0.004386197148</v>
      </c>
      <c r="L39" s="29"/>
      <c r="M39" s="31">
        <v>0.00999278289297012</v>
      </c>
      <c r="N39" s="17"/>
      <c r="O39" s="17"/>
      <c r="P39" s="17"/>
      <c r="Q39" s="17"/>
      <c r="R39" s="17"/>
      <c r="S39" s="17"/>
      <c r="T39" s="17"/>
      <c r="U39" s="17"/>
      <c r="V39" s="17"/>
      <c r="W39" s="17"/>
      <c r="X39" s="17"/>
      <c r="Y39" s="17"/>
      <c r="Z39" s="17"/>
    </row>
    <row r="40" ht="12.0" customHeight="1">
      <c r="A40" s="18">
        <v>6.0</v>
      </c>
      <c r="B40" s="17">
        <v>7.0</v>
      </c>
      <c r="C40" s="6">
        <v>89.6841</v>
      </c>
      <c r="D40" s="22">
        <f>C13-C12</f>
        <v>89.6831</v>
      </c>
      <c r="E40" s="28">
        <f t="shared" si="1"/>
        <v>0.41793662</v>
      </c>
      <c r="F40" s="29">
        <f t="shared" si="2"/>
        <v>-2.392707296</v>
      </c>
      <c r="G40" s="30">
        <f t="shared" si="3"/>
        <v>-0.2145854077</v>
      </c>
      <c r="H40" s="17"/>
      <c r="I40" s="29">
        <f t="shared" si="4"/>
        <v>-1.502097854</v>
      </c>
      <c r="J40" s="17"/>
      <c r="K40" s="29">
        <f t="shared" si="5"/>
        <v>0.4294921372</v>
      </c>
      <c r="L40" s="29"/>
      <c r="M40" s="31">
        <v>1.027648970364646</v>
      </c>
      <c r="N40" s="17"/>
      <c r="O40" s="17"/>
      <c r="P40" s="17"/>
      <c r="Q40" s="17"/>
      <c r="R40" s="17"/>
      <c r="S40" s="17"/>
      <c r="T40" s="17"/>
      <c r="U40" s="17"/>
      <c r="V40" s="17"/>
      <c r="W40" s="17"/>
      <c r="X40" s="17"/>
      <c r="Y40" s="17"/>
      <c r="Z40" s="17"/>
    </row>
    <row r="41" ht="12.0" customHeight="1">
      <c r="A41" s="18"/>
      <c r="B41" s="27" t="s">
        <v>77</v>
      </c>
      <c r="C41" s="17">
        <f>COUNT(C20:C40)</f>
        <v>21</v>
      </c>
      <c r="D41" s="22"/>
      <c r="E41" s="41"/>
      <c r="F41" s="18"/>
      <c r="G41" s="30"/>
      <c r="H41" s="17"/>
      <c r="I41" s="29"/>
      <c r="J41" s="17"/>
      <c r="K41" s="29"/>
      <c r="L41" s="29"/>
      <c r="M41" s="32"/>
      <c r="N41" s="17"/>
      <c r="O41" s="17"/>
      <c r="P41" s="17"/>
      <c r="Q41" s="17"/>
      <c r="R41" s="17"/>
      <c r="S41" s="17"/>
      <c r="T41" s="17"/>
      <c r="U41" s="17"/>
      <c r="V41" s="17"/>
      <c r="W41" s="17"/>
      <c r="X41" s="17"/>
      <c r="Y41" s="17"/>
      <c r="Z41" s="17"/>
    </row>
    <row r="42" ht="12.0" customHeight="1">
      <c r="A42" s="17"/>
      <c r="B42" s="27" t="s">
        <v>78</v>
      </c>
      <c r="C42" s="17">
        <f>C41-2</f>
        <v>19</v>
      </c>
      <c r="D42" s="17"/>
      <c r="E42" s="17"/>
      <c r="F42" s="17"/>
      <c r="G42" s="17"/>
      <c r="H42" s="17"/>
      <c r="I42" s="17"/>
      <c r="J42" s="17"/>
      <c r="K42" s="17"/>
      <c r="L42" s="27" t="s">
        <v>79</v>
      </c>
      <c r="M42" s="31">
        <f>SUMSQ(M20:M40)/C42</f>
        <v>0.989212779</v>
      </c>
      <c r="N42" s="17"/>
      <c r="O42" s="17"/>
      <c r="P42" s="17"/>
      <c r="Q42" s="17"/>
      <c r="R42" s="17"/>
      <c r="S42" s="17"/>
      <c r="T42" s="17"/>
      <c r="U42" s="17"/>
      <c r="V42" s="17"/>
      <c r="W42" s="17"/>
      <c r="X42" s="17"/>
      <c r="Y42" s="17"/>
      <c r="Z42" s="17"/>
    </row>
    <row r="43" ht="12.0" customHeight="1">
      <c r="A43" s="17"/>
      <c r="B43" s="17"/>
      <c r="C43" s="30"/>
      <c r="D43" s="30"/>
      <c r="E43" s="17"/>
      <c r="F43" s="17"/>
      <c r="G43" s="17"/>
      <c r="H43" s="17"/>
      <c r="I43" s="30"/>
      <c r="J43" s="17"/>
      <c r="K43" s="17"/>
      <c r="L43" s="17"/>
      <c r="M43" s="17"/>
      <c r="N43" s="17"/>
      <c r="O43" s="17"/>
      <c r="P43" s="17"/>
      <c r="Q43" s="17"/>
      <c r="R43" s="17"/>
      <c r="S43" s="17"/>
      <c r="T43" s="17"/>
      <c r="U43" s="17"/>
      <c r="V43" s="17"/>
      <c r="W43" s="17"/>
      <c r="X43" s="17"/>
      <c r="Y43" s="17"/>
      <c r="Z43" s="17"/>
    </row>
    <row r="44" ht="12.0" customHeight="1">
      <c r="A44" s="17"/>
      <c r="B44" s="17" t="s">
        <v>93</v>
      </c>
      <c r="C44" s="33">
        <f t="array" ref="C44:D45">MINVERSE(MMULT(TRANSPOSE(F20:G40),F20:G40))</f>
        <v>0.03358062883</v>
      </c>
      <c r="D44" s="34">
        <v>-0.0908255493358987</v>
      </c>
      <c r="F44" s="17" t="s">
        <v>81</v>
      </c>
      <c r="G44" s="35">
        <f t="array" ref="G44:G45">MMULT(C44:D45,MMULT(TRANSPOSE(F20:G40),I20:I40))</f>
        <v>0.2323678493</v>
      </c>
      <c r="H44" s="17"/>
      <c r="I44" s="17"/>
      <c r="J44" s="17"/>
      <c r="K44" s="17"/>
      <c r="L44" s="27" t="s">
        <v>82</v>
      </c>
      <c r="M44" s="29">
        <f>C42/C41</f>
        <v>0.9047619048</v>
      </c>
      <c r="N44" s="17"/>
      <c r="O44" s="17"/>
      <c r="P44" s="17"/>
      <c r="Q44" s="17"/>
      <c r="R44" s="17"/>
      <c r="S44" s="17"/>
      <c r="T44" s="17"/>
      <c r="U44" s="17"/>
      <c r="V44" s="17"/>
      <c r="W44" s="17"/>
      <c r="X44" s="17"/>
      <c r="Y44" s="17"/>
      <c r="Z44" s="17"/>
    </row>
    <row r="45" ht="12.0" customHeight="1">
      <c r="A45" s="17"/>
      <c r="B45" s="17"/>
      <c r="C45" s="36">
        <v>-0.09082554933589872</v>
      </c>
      <c r="D45" s="37">
        <v>0.3468682290776682</v>
      </c>
      <c r="F45" s="17"/>
      <c r="G45" s="38">
        <v>-0.37998559945313726</v>
      </c>
      <c r="H45" s="17"/>
      <c r="I45" s="17"/>
      <c r="J45" s="17"/>
      <c r="K45" s="17"/>
      <c r="L45" s="17"/>
      <c r="M45" s="17"/>
      <c r="N45" s="17"/>
      <c r="O45" s="17"/>
      <c r="P45" s="17"/>
      <c r="Q45" s="17"/>
      <c r="R45" s="17"/>
      <c r="S45" s="17"/>
      <c r="T45" s="17"/>
      <c r="U45" s="17"/>
      <c r="V45" s="17"/>
      <c r="W45" s="17"/>
      <c r="X45" s="17"/>
      <c r="Y45" s="17"/>
      <c r="Z45" s="17"/>
    </row>
    <row r="46" ht="12.0" customHeight="1">
      <c r="A46" s="17"/>
      <c r="B46" s="17"/>
      <c r="C46" s="17"/>
      <c r="D46" s="17"/>
      <c r="J46" s="17"/>
      <c r="K46" s="17"/>
      <c r="L46" s="17"/>
      <c r="M46" s="17"/>
      <c r="N46" s="17"/>
      <c r="P46" s="17"/>
      <c r="Q46" s="17"/>
      <c r="R46" s="17"/>
      <c r="S46" s="17"/>
      <c r="T46" s="17"/>
      <c r="U46" s="17"/>
      <c r="V46" s="17"/>
      <c r="W46" s="17"/>
      <c r="X46" s="17"/>
      <c r="Y46" s="17"/>
      <c r="Z46" s="17"/>
    </row>
    <row r="47" ht="12.0" customHeight="1">
      <c r="A47" s="17"/>
      <c r="B47" s="17"/>
      <c r="C47" s="17" t="s">
        <v>83</v>
      </c>
      <c r="D47" s="17"/>
      <c r="E47" s="17" t="s">
        <v>84</v>
      </c>
      <c r="F47" s="17"/>
      <c r="G47" s="17" t="s">
        <v>85</v>
      </c>
      <c r="H47" s="17"/>
      <c r="I47" s="17"/>
      <c r="J47" s="17"/>
      <c r="K47" s="17"/>
      <c r="L47" s="17"/>
      <c r="M47" s="17"/>
      <c r="N47" s="17"/>
      <c r="O47" s="17"/>
      <c r="P47" s="17"/>
      <c r="Q47" s="17"/>
      <c r="R47" s="17"/>
      <c r="S47" s="17"/>
      <c r="T47" s="17"/>
      <c r="U47" s="17"/>
      <c r="V47" s="17"/>
      <c r="W47" s="17"/>
      <c r="X47" s="17"/>
      <c r="Y47" s="17"/>
      <c r="Z47" s="17"/>
    </row>
    <row r="48" ht="12.0" customHeight="1">
      <c r="A48" s="17"/>
      <c r="B48" s="17" t="s">
        <v>86</v>
      </c>
      <c r="C48" s="57">
        <f t="shared" ref="C48:C49" si="6">C15+G44</f>
        <v>-0.7676321507</v>
      </c>
      <c r="D48" s="17" t="s">
        <v>61</v>
      </c>
      <c r="E48" s="39">
        <f>SQRT(C44)</f>
        <v>0.183250181</v>
      </c>
      <c r="F48" s="17" t="s">
        <v>61</v>
      </c>
      <c r="G48" s="29">
        <f t="shared" ref="G48:G49" si="7">TINV(0.05,C$42)*E48</f>
        <v>0.3835470368</v>
      </c>
      <c r="H48" s="17"/>
      <c r="I48" s="17" t="s">
        <v>87</v>
      </c>
      <c r="J48" s="17"/>
      <c r="K48" s="17"/>
      <c r="L48" s="17"/>
      <c r="M48" s="17"/>
      <c r="N48" s="17"/>
      <c r="O48" s="17"/>
      <c r="P48" s="17"/>
      <c r="Q48" s="17"/>
      <c r="R48" s="17"/>
      <c r="S48" s="17"/>
      <c r="T48" s="17"/>
      <c r="U48" s="17"/>
      <c r="V48" s="17"/>
      <c r="W48" s="17"/>
      <c r="X48" s="17"/>
      <c r="Y48" s="17"/>
      <c r="Z48" s="17"/>
    </row>
    <row r="49" ht="12.0" customHeight="1">
      <c r="A49" s="17"/>
      <c r="B49" s="17" t="s">
        <v>88</v>
      </c>
      <c r="C49" s="57">
        <f t="shared" si="6"/>
        <v>-7.379985599</v>
      </c>
      <c r="D49" s="17" t="s">
        <v>64</v>
      </c>
      <c r="E49" s="39">
        <f>SQRT(D45)</f>
        <v>0.5889552012</v>
      </c>
      <c r="F49" s="17" t="s">
        <v>64</v>
      </c>
      <c r="G49" s="29">
        <f t="shared" si="7"/>
        <v>1.232697403</v>
      </c>
      <c r="H49" s="17"/>
      <c r="I49" s="30">
        <f>D44/(SQRT(C44)*SQRT(D45))</f>
        <v>-0.841552781</v>
      </c>
      <c r="J49" s="17"/>
      <c r="K49" s="17"/>
      <c r="L49" s="17"/>
      <c r="M49" s="17"/>
      <c r="N49" s="17"/>
      <c r="O49" s="17"/>
      <c r="P49" s="17"/>
      <c r="Q49" s="17"/>
      <c r="R49" s="17"/>
      <c r="S49" s="17"/>
      <c r="T49" s="17"/>
      <c r="U49" s="17"/>
      <c r="V49" s="17"/>
      <c r="W49" s="17"/>
      <c r="X49" s="17"/>
      <c r="Y49" s="17"/>
      <c r="Z49" s="17"/>
    </row>
    <row r="50" ht="12.0" customHeight="1">
      <c r="A50" s="17"/>
      <c r="B50" s="17"/>
      <c r="C50" s="40"/>
      <c r="D50" s="17"/>
      <c r="E50" s="17"/>
      <c r="F50" s="17"/>
      <c r="G50" s="17"/>
      <c r="H50" s="17"/>
      <c r="I50" s="17"/>
      <c r="J50" s="17"/>
      <c r="K50" s="17"/>
      <c r="L50" s="17"/>
      <c r="M50" s="17"/>
      <c r="N50" s="17"/>
      <c r="O50" s="17"/>
      <c r="P50" s="17"/>
      <c r="Q50" s="17"/>
      <c r="R50" s="17"/>
      <c r="S50" s="17"/>
      <c r="T50" s="17"/>
      <c r="U50" s="17"/>
      <c r="V50" s="17"/>
      <c r="W50" s="17"/>
      <c r="X50" s="17"/>
      <c r="Y50" s="17"/>
      <c r="Z50" s="17"/>
    </row>
    <row r="51" ht="12.0" customHeight="1">
      <c r="A51" s="17" t="s">
        <v>89</v>
      </c>
      <c r="B51" s="17"/>
      <c r="C51" s="17"/>
      <c r="D51" s="6">
        <v>654.321</v>
      </c>
      <c r="E51" s="17" t="s">
        <v>90</v>
      </c>
      <c r="F51" s="17"/>
      <c r="G51" s="17"/>
      <c r="H51" s="17"/>
      <c r="I51" s="17"/>
      <c r="J51" s="17"/>
      <c r="K51" s="17"/>
      <c r="L51" s="17"/>
      <c r="M51" s="17"/>
      <c r="N51" s="17"/>
      <c r="O51" s="17"/>
      <c r="P51" s="17"/>
      <c r="Q51" s="17"/>
      <c r="R51" s="17"/>
      <c r="S51" s="17"/>
      <c r="T51" s="17"/>
      <c r="U51" s="17"/>
      <c r="V51" s="17"/>
      <c r="W51" s="17"/>
      <c r="X51" s="17"/>
      <c r="Y51" s="17"/>
      <c r="Z51" s="17"/>
    </row>
    <row r="52" ht="12.0" customHeight="1">
      <c r="A52" s="17"/>
      <c r="B52" s="17"/>
      <c r="C52" s="17"/>
      <c r="D52" s="23">
        <f>D51+C48/1000+C49*D51/1000000</f>
        <v>654.3154035</v>
      </c>
      <c r="E52" s="17" t="s">
        <v>91</v>
      </c>
      <c r="F52" s="17"/>
      <c r="G52" s="17"/>
      <c r="H52" s="17"/>
      <c r="I52" s="17"/>
      <c r="J52" s="17"/>
      <c r="K52" s="17"/>
      <c r="L52" s="17"/>
      <c r="M52" s="17"/>
      <c r="N52" s="17"/>
      <c r="O52" s="17"/>
      <c r="P52" s="17"/>
      <c r="Q52" s="17"/>
      <c r="R52" s="17"/>
      <c r="S52" s="17"/>
      <c r="T52" s="17"/>
      <c r="U52" s="17"/>
      <c r="V52" s="17"/>
      <c r="W52" s="17"/>
      <c r="X52" s="17"/>
      <c r="Y52" s="17"/>
      <c r="Z52" s="17"/>
    </row>
    <row r="53" ht="12.0"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ht="12.0"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ht="12.0"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ht="12.0"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ht="12.0"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ht="12.0"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ht="12.0"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ht="12.0"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ht="12.0"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ht="12.0"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ht="12.0"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ht="12.0"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ht="12.0"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ht="12.0"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ht="12.0"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ht="12.0"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ht="12.0"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ht="12.0"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ht="12.0"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ht="12.0"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ht="12.0"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ht="12.0"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ht="12.0"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ht="12.0"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ht="12.0"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ht="12.0"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ht="12.0"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ht="12.0"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ht="12.0"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ht="12.0"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ht="12.0"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ht="12.0"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ht="12.0"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ht="12.0"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ht="12.0"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ht="12.0"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ht="12.0"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ht="12.0"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ht="12.0"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ht="12.0"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ht="12.0"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ht="12.0"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ht="12.0"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ht="12.0"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ht="12.0"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ht="12.0"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ht="12.0"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ht="12.0"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12.0"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12.0"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12.0"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12.0"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12.0"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12.0"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12.0"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12.0"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12.0"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12.0"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12.0"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12.0"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12.0"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12.0"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12.0"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12.0"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12.0"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12.0"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12.0"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12.0"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12.0"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12.0"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12.0"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12.0"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12.0"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12.0"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12.0"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12.0"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12.0"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12.0"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12.0"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12.0"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12.0"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12.0"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12.0"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12.0"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12.0"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12.0"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12.0"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2.0"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2.0"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2.0"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2.0"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2.0"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2.0"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2.0"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0"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0"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0"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0"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0"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0"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0"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0"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0"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0"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0"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0"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0"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0"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0"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0"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0"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0"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0"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0"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0"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0"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0"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0"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0"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0"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0"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0"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0"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0"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0"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0"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0"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0"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0"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0"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0"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0"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0"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0"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0"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0"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0"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0"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0"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0"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0"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0"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0"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0"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0"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0"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0"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0"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0"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0"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0"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0"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0"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0"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0"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0"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0"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0"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0"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0"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0"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0"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0"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0"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0"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0"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0"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0"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0"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0"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0"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0"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0"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0"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0"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0"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0"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0"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0"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0"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0"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0"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0"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0"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0"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0"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0"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0"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0"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0"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0"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0"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0"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0"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0"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0"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0"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0"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0"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0"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0"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0"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0"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0"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0"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0"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0"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0"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0"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0"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0"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0"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0"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0"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0"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0"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0"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0"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0"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0"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0"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0"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0"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0"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0"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0"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0"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0"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0"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0"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0"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0"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0"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0"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0"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0"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0"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0"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0"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0"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0"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0"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0"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0"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0"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0"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0"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0"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0"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0"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0"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0"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0"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0"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0"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0"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0"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0"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0"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0"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0"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0"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0"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0"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0"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0"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0"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0"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0"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0"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0"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0"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0"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0"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0"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0"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0"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0"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0"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0"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0"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0"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0"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0"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0"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0"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0"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0"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0"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0"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0"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0"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0"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0"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0"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0"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0"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0"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0"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0"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0"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0"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0"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0"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0"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0"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0"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0"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0"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0"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0"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0"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0"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0"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0"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0"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0"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0"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0"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0"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0"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0"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0"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0"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0"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0"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0"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0"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0"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0"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0"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0"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0"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0"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0"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0"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0"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0"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0"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0"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0"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0"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0"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0"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0"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0"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0"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0"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0"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0"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0"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0"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0"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0"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0"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0"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0"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0"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0"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0"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0"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0"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0"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0"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0"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0"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0"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0"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0"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0"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0"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0"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0"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0"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0"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0"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0"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0"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0"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0"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0"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0"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0"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0"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0"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0"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0"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0"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0"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0"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0"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0"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0"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0"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0"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0"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0"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0"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0"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0"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0"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0"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0"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0"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0"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0"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0"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0"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0"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0"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0"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0"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0"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0"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0"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0"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0"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0"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0"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0"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0"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0"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0"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0"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0"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0"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0"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0"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0"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0"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0"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0"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0"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0"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0"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0"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0"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0"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0"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0"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0"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0"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0"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0"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0"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0"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0"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0"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0"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0"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0"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0"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0"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0"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0"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0"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0"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0"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0"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0"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0"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0"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0"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0"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0"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0"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0"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0"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0"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0"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0"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0"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0"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0"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0"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0"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0"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0"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0"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0"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0"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0"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0"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0"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0"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0"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0"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0"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0"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0"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0"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0"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0"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0"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0"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0"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0"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0"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0"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0"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0"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0"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0"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0"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0"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0"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0"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0"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0"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0"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0"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0"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0"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0"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0"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0"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0"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0"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0"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0"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0"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0"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0"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0"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0"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0"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0"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0"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0"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0"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0"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0"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0"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0"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0"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0"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0"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0"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0"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0"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0"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0"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0"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0"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0"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0"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0"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0"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0"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0"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0"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0"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0"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0"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0"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0"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0"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0"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0"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0"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0"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0"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0"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0"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0"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0"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0"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0"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0"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0"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0"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0"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0"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0"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0"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0"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0"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0"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0"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0"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0"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0"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0"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0"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0"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0"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0"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0"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0"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0"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0"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0"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0"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0"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0"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0"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0"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0"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0"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0"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0"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0"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0"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0"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0"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0"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0"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0"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0"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0"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0"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0"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0"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0"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0"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0"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0"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0"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0"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0"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0"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0"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0"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0"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0"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0"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0"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0"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0"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0"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0"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0"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0"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0"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0"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0"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0"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0"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0"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0"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0"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0"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0"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0"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0"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0"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0"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0"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0"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0"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0"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0"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0"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0"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0"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0"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0"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0"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0"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0"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0"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0"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0"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0"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0"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0"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0"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0"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0"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0"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0"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0"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0"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0"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0"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0"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0"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0"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0"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0"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0"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0"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0"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0"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0"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0"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0"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0"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0"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0"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0"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0"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0"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0"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0"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0"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0"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0"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0"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0"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0"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0"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0"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0"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0"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0"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0"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0"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0"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0"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0"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0"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0"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0"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0"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0"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0"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0"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0"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0"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0"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0"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0"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0"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0"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0"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0"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0"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0"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0"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0"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0"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0"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0"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0"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0"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0"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0"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0"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0"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0"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0"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0"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0"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0"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0"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0"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0"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0"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0"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0"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0"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0"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0"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0"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0"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0"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0"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0"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0"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0"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0"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0"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0"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0"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0"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0"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0"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0"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0"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0"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0"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0"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0"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0"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0"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0"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0"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0"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0"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0"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0"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0"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0"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0"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0"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0"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0"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0"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0"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0"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0"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0"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0"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0"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0"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0"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0"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0"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0"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0"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0"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0"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0"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0"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0"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0"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0"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0"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0"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0"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0"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0"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0"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0"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0"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0"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0"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0"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0"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0"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0"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0"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0"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0"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0"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0"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0"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0"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0"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0"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0"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0"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0"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0"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0"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0"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0"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0"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0"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0"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0"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0"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0"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0"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0"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0"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0"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0"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0"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0"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0"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0"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0"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0"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0"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0"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0"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0"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0"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0"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0"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0"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0"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0"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0"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0"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0"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0"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0"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0"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0"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0"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0"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0"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0"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0"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0"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0"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0"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0"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0"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0"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0"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0"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0"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0"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0"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0"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0"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0"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0"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0"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0"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0"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0"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0"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0"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0"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0"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0"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0"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0"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0"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0"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0"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0"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0"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0"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0"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0"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0"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0"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0"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0"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0"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0"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0"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0"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0"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0"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0"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0"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0"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0"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0"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0"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0"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0"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0"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0"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0"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0"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0"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0"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0"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0"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0"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0"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0"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0"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0"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0"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0"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0"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0"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0"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0"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printOptions/>
  <pageMargins bottom="0.75" footer="0.0" header="0.0" left="0.7" right="0.7" top="0.75"/>
  <pageSetup orientation="landscape"/>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88"/>
    <col customWidth="1" min="2" max="2" width="3.88"/>
    <col customWidth="1" min="3" max="3" width="10.75"/>
    <col customWidth="1" min="4" max="4" width="10.13"/>
    <col customWidth="1" min="5" max="5" width="6.88"/>
    <col customWidth="1" min="6" max="6" width="4.0"/>
    <col customWidth="1" min="7" max="7" width="6.5"/>
    <col customWidth="1" min="8" max="8" width="3.5"/>
    <col customWidth="1" min="9" max="9" width="6.5"/>
    <col customWidth="1" min="10" max="10" width="3.0"/>
    <col customWidth="1" min="11" max="11" width="8.13"/>
    <col customWidth="1" min="12" max="12" width="4.13"/>
    <col customWidth="1" min="13" max="13" width="7.5"/>
    <col customWidth="1" min="14" max="14" width="4.13"/>
    <col customWidth="1" min="15" max="16" width="5.0"/>
    <col customWidth="1" min="17" max="26" width="8.0"/>
  </cols>
  <sheetData>
    <row r="1" ht="12.0" customHeight="1">
      <c r="A1" s="17"/>
      <c r="B1" s="17"/>
      <c r="C1" s="17"/>
      <c r="D1" s="17"/>
      <c r="E1" s="17"/>
      <c r="F1" s="17"/>
      <c r="G1" s="17"/>
      <c r="H1" s="17"/>
      <c r="I1" s="17"/>
      <c r="J1" s="17"/>
      <c r="K1" s="17"/>
      <c r="L1" s="17"/>
      <c r="M1" s="17"/>
      <c r="N1" s="17"/>
      <c r="O1" s="17"/>
      <c r="P1" s="17"/>
      <c r="Q1" s="17"/>
      <c r="R1" s="17"/>
      <c r="S1" s="17"/>
      <c r="T1" s="17"/>
      <c r="U1" s="17"/>
      <c r="V1" s="17"/>
      <c r="W1" s="17"/>
      <c r="X1" s="17"/>
      <c r="Y1" s="17"/>
      <c r="Z1" s="17"/>
    </row>
    <row r="2" ht="12.0" customHeight="1">
      <c r="A2" s="17"/>
      <c r="B2" s="17"/>
      <c r="C2" s="17"/>
      <c r="D2" s="17"/>
      <c r="E2" s="17"/>
      <c r="F2" s="17"/>
      <c r="G2" s="17"/>
      <c r="H2" s="17"/>
      <c r="I2" s="17"/>
      <c r="J2" s="17"/>
      <c r="K2" s="17"/>
      <c r="L2" s="17"/>
      <c r="M2" s="17"/>
      <c r="N2" s="17"/>
      <c r="O2" s="17"/>
      <c r="P2" s="17"/>
      <c r="Q2" s="17"/>
      <c r="R2" s="17"/>
      <c r="S2" s="17"/>
      <c r="T2" s="17"/>
      <c r="U2" s="17"/>
      <c r="V2" s="17"/>
      <c r="W2" s="17"/>
      <c r="X2" s="17"/>
      <c r="Y2" s="17"/>
      <c r="Z2" s="17"/>
    </row>
    <row r="3" ht="12.0" customHeight="1">
      <c r="A3" s="17"/>
      <c r="B3" s="17"/>
      <c r="C3" s="17"/>
      <c r="D3" s="17"/>
      <c r="E3" s="17"/>
      <c r="F3" s="17"/>
      <c r="G3" s="17"/>
      <c r="H3" s="17"/>
      <c r="I3" s="17"/>
      <c r="J3" s="17"/>
      <c r="K3" s="17"/>
      <c r="L3" s="17"/>
      <c r="M3" s="17"/>
      <c r="N3" s="17"/>
      <c r="O3" s="17"/>
      <c r="P3" s="17"/>
      <c r="Q3" s="17"/>
      <c r="R3" s="17"/>
      <c r="S3" s="17"/>
      <c r="T3" s="17"/>
      <c r="U3" s="17"/>
      <c r="V3" s="17"/>
      <c r="W3" s="17"/>
      <c r="X3" s="17"/>
      <c r="Y3" s="17"/>
      <c r="Z3" s="17"/>
    </row>
    <row r="4" ht="12.0" customHeight="1">
      <c r="A4" s="17"/>
      <c r="B4" s="17"/>
      <c r="C4" s="17"/>
      <c r="D4" s="17"/>
      <c r="E4" s="17"/>
      <c r="F4" s="17"/>
      <c r="G4" s="17"/>
      <c r="H4" s="17"/>
      <c r="I4" s="17"/>
      <c r="J4" s="17"/>
      <c r="K4" s="17"/>
      <c r="L4" s="17"/>
      <c r="M4" s="17"/>
      <c r="N4" s="17"/>
      <c r="O4" s="17"/>
      <c r="P4" s="17"/>
      <c r="Q4" s="17"/>
      <c r="R4" s="17"/>
      <c r="S4" s="17"/>
      <c r="T4" s="17"/>
      <c r="U4" s="17"/>
      <c r="V4" s="17"/>
      <c r="W4" s="17"/>
      <c r="X4" s="17"/>
      <c r="Y4" s="17"/>
      <c r="Z4" s="17"/>
    </row>
    <row r="5" ht="12.0" customHeight="1">
      <c r="A5" s="17"/>
      <c r="B5" s="17"/>
      <c r="C5" s="17"/>
      <c r="D5" s="17"/>
      <c r="E5" s="17"/>
      <c r="F5" s="17"/>
      <c r="G5" s="17"/>
      <c r="H5" s="17"/>
      <c r="I5" s="17"/>
      <c r="J5" s="17"/>
      <c r="K5" s="17"/>
      <c r="L5" s="17"/>
      <c r="M5" s="17"/>
      <c r="N5" s="17"/>
      <c r="O5" s="17"/>
      <c r="P5" s="17"/>
      <c r="Q5" s="17"/>
      <c r="R5" s="17"/>
      <c r="S5" s="17"/>
      <c r="T5" s="17"/>
      <c r="U5" s="17"/>
      <c r="V5" s="17"/>
      <c r="W5" s="17"/>
      <c r="X5" s="17"/>
      <c r="Y5" s="17"/>
      <c r="Z5" s="17"/>
    </row>
    <row r="6" ht="12.75" customHeight="1">
      <c r="A6" s="15" t="s">
        <v>102</v>
      </c>
      <c r="B6" s="17"/>
      <c r="C6" s="17"/>
      <c r="D6" s="17"/>
      <c r="E6" s="17"/>
      <c r="F6" s="17"/>
      <c r="G6" s="17"/>
      <c r="H6" s="17"/>
      <c r="I6" s="17"/>
      <c r="J6" s="17"/>
      <c r="K6" s="17"/>
      <c r="L6" s="17"/>
      <c r="M6" s="17"/>
      <c r="N6" s="17"/>
      <c r="O6" s="17"/>
      <c r="P6" s="17"/>
      <c r="Q6" s="17"/>
      <c r="R6" s="17"/>
      <c r="S6" s="17"/>
      <c r="T6" s="17"/>
      <c r="U6" s="17"/>
      <c r="V6" s="17"/>
      <c r="W6" s="17"/>
      <c r="X6" s="17"/>
      <c r="Y6" s="17"/>
      <c r="Z6" s="17"/>
    </row>
    <row r="7" ht="12.75" customHeight="1">
      <c r="A7" s="17"/>
      <c r="B7" s="20" t="s">
        <v>54</v>
      </c>
      <c r="C7" s="19">
        <v>0.0</v>
      </c>
      <c r="D7" s="17" t="s">
        <v>55</v>
      </c>
      <c r="E7" s="17"/>
      <c r="F7" s="15"/>
      <c r="G7" s="17"/>
      <c r="H7" s="17"/>
      <c r="I7" s="17"/>
      <c r="J7" s="17"/>
      <c r="K7" s="17"/>
      <c r="L7" s="17"/>
      <c r="M7" s="17"/>
      <c r="N7" s="17"/>
      <c r="O7" s="17"/>
      <c r="P7" s="17"/>
      <c r="Q7" s="17"/>
      <c r="R7" s="17"/>
      <c r="S7" s="17"/>
      <c r="T7" s="17"/>
      <c r="U7" s="17"/>
      <c r="V7" s="17"/>
      <c r="W7" s="17"/>
      <c r="X7" s="17"/>
      <c r="Y7" s="17"/>
      <c r="Z7" s="17"/>
    </row>
    <row r="8" ht="12.75" customHeight="1">
      <c r="A8" s="17"/>
      <c r="B8" s="20" t="s">
        <v>56</v>
      </c>
      <c r="C8" s="19">
        <v>15.0808</v>
      </c>
      <c r="D8" s="17" t="s">
        <v>55</v>
      </c>
      <c r="E8" s="17"/>
      <c r="F8" s="15"/>
      <c r="G8" s="17"/>
      <c r="H8" s="17"/>
      <c r="I8" s="17"/>
      <c r="J8" s="17"/>
      <c r="K8" s="17"/>
      <c r="L8" s="17"/>
      <c r="M8" s="17"/>
      <c r="N8" s="17"/>
      <c r="O8" s="17"/>
      <c r="P8" s="17"/>
      <c r="Q8" s="17"/>
      <c r="R8" s="17"/>
      <c r="S8" s="17"/>
      <c r="T8" s="17"/>
      <c r="U8" s="17"/>
      <c r="V8" s="17"/>
      <c r="W8" s="17"/>
      <c r="X8" s="17"/>
      <c r="Y8" s="17"/>
      <c r="Z8" s="17"/>
    </row>
    <row r="9" ht="12.0" customHeight="1">
      <c r="A9" s="17"/>
      <c r="B9" s="20" t="s">
        <v>57</v>
      </c>
      <c r="C9" s="19">
        <v>90.0099</v>
      </c>
      <c r="D9" s="17" t="s">
        <v>55</v>
      </c>
      <c r="E9" s="17"/>
      <c r="F9" s="17"/>
      <c r="G9" s="17"/>
      <c r="H9" s="17"/>
      <c r="I9" s="17"/>
      <c r="J9" s="17"/>
      <c r="K9" s="17"/>
      <c r="L9" s="17"/>
      <c r="M9" s="17"/>
      <c r="N9" s="17"/>
      <c r="O9" s="17"/>
      <c r="P9" s="17"/>
      <c r="Q9" s="17"/>
      <c r="R9" s="17"/>
      <c r="S9" s="17"/>
      <c r="T9" s="17"/>
      <c r="U9" s="17"/>
      <c r="V9" s="17"/>
      <c r="W9" s="17"/>
      <c r="X9" s="17"/>
      <c r="Y9" s="17"/>
      <c r="Z9" s="17"/>
    </row>
    <row r="10" ht="12.0" customHeight="1">
      <c r="A10" s="17"/>
      <c r="B10" s="20" t="s">
        <v>58</v>
      </c>
      <c r="C10" s="19">
        <v>225.0046</v>
      </c>
      <c r="D10" s="17" t="s">
        <v>55</v>
      </c>
      <c r="E10" s="17"/>
      <c r="F10" s="17"/>
      <c r="G10" s="17"/>
      <c r="H10" s="17"/>
      <c r="I10" s="17"/>
      <c r="J10" s="17"/>
      <c r="K10" s="17"/>
      <c r="L10" s="17"/>
      <c r="M10" s="17"/>
      <c r="N10" s="17"/>
      <c r="O10" s="17"/>
      <c r="P10" s="17"/>
      <c r="Q10" s="17"/>
      <c r="R10" s="17"/>
      <c r="S10" s="17"/>
      <c r="T10" s="17"/>
      <c r="U10" s="17"/>
      <c r="V10" s="17"/>
      <c r="W10" s="17"/>
      <c r="X10" s="17"/>
      <c r="Y10" s="17"/>
      <c r="Z10" s="17"/>
    </row>
    <row r="11" ht="12.0" customHeight="1">
      <c r="A11" s="17"/>
      <c r="B11" s="20" t="s">
        <v>94</v>
      </c>
      <c r="C11" s="19">
        <v>390.0051</v>
      </c>
      <c r="D11" s="17" t="s">
        <v>55</v>
      </c>
      <c r="E11" s="17"/>
      <c r="F11" s="17"/>
      <c r="G11" s="17"/>
      <c r="H11" s="17"/>
      <c r="I11" s="17"/>
      <c r="J11" s="17"/>
      <c r="K11" s="17"/>
      <c r="L11" s="17"/>
      <c r="M11" s="17"/>
      <c r="N11" s="17"/>
      <c r="O11" s="17"/>
      <c r="P11" s="17"/>
      <c r="Q11" s="17"/>
      <c r="R11" s="17"/>
      <c r="S11" s="17"/>
      <c r="T11" s="17"/>
      <c r="U11" s="17"/>
      <c r="V11" s="17"/>
      <c r="W11" s="17"/>
      <c r="X11" s="17"/>
      <c r="Y11" s="17"/>
      <c r="Z11" s="17"/>
    </row>
    <row r="12" ht="12.0" customHeight="1">
      <c r="A12" s="20"/>
      <c r="B12" s="20" t="s">
        <v>103</v>
      </c>
      <c r="C12" s="19">
        <v>495.0063</v>
      </c>
      <c r="D12" s="17" t="s">
        <v>55</v>
      </c>
      <c r="E12" s="17"/>
      <c r="F12" s="17"/>
      <c r="G12" s="17"/>
      <c r="H12" s="17"/>
      <c r="I12" s="17"/>
      <c r="J12" s="17"/>
      <c r="K12" s="17"/>
      <c r="L12" s="17"/>
      <c r="M12" s="17"/>
      <c r="N12" s="17"/>
      <c r="O12" s="17"/>
      <c r="P12" s="17"/>
      <c r="Q12" s="17"/>
      <c r="R12" s="17"/>
      <c r="S12" s="17"/>
      <c r="T12" s="17"/>
      <c r="U12" s="17"/>
      <c r="V12" s="17"/>
      <c r="W12" s="17"/>
      <c r="X12" s="17"/>
      <c r="Y12" s="17"/>
      <c r="Z12" s="17"/>
    </row>
    <row r="13" ht="12.0" customHeight="1">
      <c r="A13" s="20"/>
      <c r="B13" s="20" t="s">
        <v>104</v>
      </c>
      <c r="C13" s="19">
        <v>539.9994</v>
      </c>
      <c r="D13" s="17" t="s">
        <v>55</v>
      </c>
      <c r="E13" s="17"/>
      <c r="F13" s="17"/>
      <c r="G13" s="17"/>
      <c r="H13" s="17"/>
      <c r="I13" s="17"/>
      <c r="J13" s="17"/>
      <c r="K13" s="17"/>
      <c r="L13" s="17"/>
      <c r="M13" s="17"/>
      <c r="N13" s="17"/>
      <c r="O13" s="17"/>
      <c r="P13" s="17"/>
      <c r="Q13" s="17"/>
      <c r="R13" s="17"/>
      <c r="S13" s="17"/>
      <c r="T13" s="17"/>
      <c r="U13" s="17"/>
      <c r="V13" s="17"/>
      <c r="W13" s="17"/>
      <c r="X13" s="17"/>
      <c r="Y13" s="17"/>
      <c r="Z13" s="17"/>
    </row>
    <row r="14" ht="12.0" customHeight="1">
      <c r="A14" s="20"/>
      <c r="B14" s="20" t="s">
        <v>105</v>
      </c>
      <c r="C14" s="19">
        <v>584.6856</v>
      </c>
      <c r="D14" s="17" t="s">
        <v>55</v>
      </c>
      <c r="E14" s="17"/>
      <c r="F14" s="17"/>
      <c r="G14" s="17"/>
      <c r="H14" s="17"/>
      <c r="I14" s="17"/>
      <c r="J14" s="17"/>
      <c r="K14" s="17"/>
      <c r="L14" s="17"/>
      <c r="M14" s="17"/>
      <c r="N14" s="17"/>
      <c r="O14" s="17"/>
      <c r="P14" s="17"/>
      <c r="Q14" s="17"/>
      <c r="R14" s="17"/>
      <c r="S14" s="17"/>
      <c r="T14" s="17"/>
      <c r="U14" s="17"/>
      <c r="V14" s="17"/>
      <c r="W14" s="17"/>
      <c r="X14" s="17"/>
      <c r="Y14" s="17"/>
      <c r="Z14" s="17"/>
    </row>
    <row r="15" ht="12.0" customHeight="1">
      <c r="A15" s="17" t="s">
        <v>59</v>
      </c>
      <c r="B15" s="17"/>
      <c r="C15" s="6"/>
      <c r="D15" s="17"/>
      <c r="E15" s="17"/>
      <c r="F15" s="17"/>
      <c r="G15" s="17"/>
      <c r="H15" s="17"/>
      <c r="I15" s="17"/>
      <c r="J15" s="17"/>
      <c r="K15" s="17"/>
      <c r="L15" s="17"/>
      <c r="M15" s="17"/>
      <c r="N15" s="17"/>
      <c r="O15" s="17"/>
      <c r="P15" s="17"/>
      <c r="Q15" s="17"/>
      <c r="R15" s="17"/>
      <c r="S15" s="17"/>
      <c r="T15" s="17"/>
      <c r="U15" s="17"/>
      <c r="V15" s="17"/>
      <c r="W15" s="17"/>
      <c r="X15" s="17"/>
      <c r="Y15" s="17"/>
      <c r="Z15" s="17"/>
    </row>
    <row r="16" ht="12.0" customHeight="1">
      <c r="A16" s="17" t="s">
        <v>60</v>
      </c>
      <c r="B16" s="17"/>
      <c r="C16" s="24">
        <v>-0.12049918397045123</v>
      </c>
      <c r="D16" s="17" t="s">
        <v>61</v>
      </c>
      <c r="E16" s="17"/>
      <c r="F16" s="17">
        <f>C16/1000</f>
        <v>-0.000120499184</v>
      </c>
      <c r="G16" s="17" t="s">
        <v>62</v>
      </c>
      <c r="H16" s="17"/>
      <c r="I16" s="17"/>
      <c r="J16" s="17"/>
      <c r="K16" s="17"/>
      <c r="L16" s="17"/>
      <c r="M16" s="17"/>
      <c r="N16" s="17"/>
      <c r="O16" s="17"/>
      <c r="P16" s="17"/>
      <c r="Q16" s="17"/>
      <c r="R16" s="17"/>
      <c r="S16" s="17"/>
      <c r="T16" s="17"/>
      <c r="U16" s="17"/>
      <c r="V16" s="17"/>
      <c r="W16" s="17"/>
      <c r="X16" s="17"/>
      <c r="Y16" s="17"/>
      <c r="Z16" s="17"/>
    </row>
    <row r="17" ht="12.0" customHeight="1">
      <c r="A17" s="17" t="s">
        <v>63</v>
      </c>
      <c r="B17" s="17"/>
      <c r="C17" s="25">
        <v>12.22911677561805</v>
      </c>
      <c r="D17" s="17" t="s">
        <v>64</v>
      </c>
      <c r="E17" s="17"/>
      <c r="F17" s="17">
        <f>C17/1000000</f>
        <v>0.00001222911678</v>
      </c>
      <c r="G17" s="17" t="s">
        <v>65</v>
      </c>
      <c r="H17" s="17"/>
      <c r="I17" s="17"/>
      <c r="J17" s="17"/>
      <c r="K17" s="17"/>
      <c r="L17" s="17"/>
      <c r="M17" s="17"/>
      <c r="N17" s="17"/>
      <c r="O17" s="17"/>
      <c r="P17" s="17"/>
      <c r="Q17" s="17"/>
      <c r="R17" s="17"/>
      <c r="S17" s="17"/>
      <c r="T17" s="17"/>
      <c r="U17" s="17"/>
      <c r="V17" s="17"/>
      <c r="W17" s="17"/>
      <c r="X17" s="17"/>
      <c r="Y17" s="17"/>
      <c r="Z17" s="17"/>
    </row>
    <row r="18" ht="12.0" customHeight="1">
      <c r="A18" s="17" t="s">
        <v>66</v>
      </c>
      <c r="B18" s="17"/>
      <c r="C18" s="26">
        <v>2.0</v>
      </c>
      <c r="D18" s="17" t="s">
        <v>67</v>
      </c>
      <c r="E18" s="26">
        <v>2.0</v>
      </c>
      <c r="F18" s="17" t="s">
        <v>64</v>
      </c>
      <c r="G18" s="17"/>
      <c r="H18" s="17"/>
      <c r="I18" s="17"/>
      <c r="J18" s="17"/>
      <c r="K18" s="17"/>
      <c r="L18" s="17"/>
      <c r="M18" s="17"/>
      <c r="N18" s="17"/>
      <c r="O18" s="17"/>
      <c r="P18" s="17"/>
      <c r="Q18" s="17"/>
      <c r="R18" s="17"/>
      <c r="S18" s="17"/>
      <c r="T18" s="17"/>
      <c r="U18" s="17"/>
      <c r="V18" s="17"/>
      <c r="W18" s="17"/>
      <c r="X18" s="17"/>
      <c r="Y18" s="17"/>
      <c r="Z18" s="17"/>
    </row>
    <row r="19" ht="12.75" customHeight="1">
      <c r="A19" s="15" t="s">
        <v>68</v>
      </c>
      <c r="B19" s="17"/>
      <c r="C19" s="17"/>
      <c r="D19" s="17"/>
      <c r="E19" s="17"/>
      <c r="F19" s="15"/>
      <c r="G19" s="17"/>
      <c r="H19" s="17"/>
      <c r="I19" s="17"/>
      <c r="J19" s="17"/>
      <c r="K19" s="17" t="s">
        <v>69</v>
      </c>
      <c r="L19" s="17"/>
      <c r="M19" s="17"/>
      <c r="N19" s="17"/>
      <c r="O19" s="17"/>
      <c r="P19" s="17"/>
      <c r="Q19" s="17"/>
      <c r="R19" s="17"/>
      <c r="S19" s="17"/>
      <c r="T19" s="17"/>
      <c r="U19" s="17"/>
      <c r="V19" s="17"/>
      <c r="W19" s="17"/>
      <c r="X19" s="17"/>
      <c r="Y19" s="17"/>
      <c r="Z19" s="17"/>
    </row>
    <row r="20" ht="12.75" customHeight="1">
      <c r="A20" s="27" t="s">
        <v>16</v>
      </c>
      <c r="B20" s="17" t="s">
        <v>17</v>
      </c>
      <c r="C20" s="17" t="s">
        <v>70</v>
      </c>
      <c r="D20" s="17" t="s">
        <v>71</v>
      </c>
      <c r="E20" s="17" t="s">
        <v>72</v>
      </c>
      <c r="F20" s="15" t="s">
        <v>73</v>
      </c>
      <c r="G20" s="17"/>
      <c r="H20" s="17"/>
      <c r="I20" s="20" t="s">
        <v>74</v>
      </c>
      <c r="J20" s="17"/>
      <c r="K20" s="20" t="s">
        <v>75</v>
      </c>
      <c r="L20" s="17"/>
      <c r="M20" s="20" t="s">
        <v>76</v>
      </c>
      <c r="N20" s="17"/>
      <c r="O20" s="17"/>
      <c r="P20" s="17"/>
      <c r="Q20" s="17"/>
      <c r="R20" s="17"/>
      <c r="S20" s="17"/>
      <c r="T20" s="17"/>
      <c r="U20" s="17"/>
      <c r="V20" s="17"/>
      <c r="W20" s="17"/>
      <c r="X20" s="17"/>
      <c r="Y20" s="17"/>
      <c r="Z20" s="17"/>
    </row>
    <row r="21" ht="12.0" customHeight="1">
      <c r="A21" s="9">
        <v>1.0</v>
      </c>
      <c r="B21" s="2">
        <v>2.0</v>
      </c>
      <c r="C21" s="19">
        <f>'SD to HD'!L17</f>
        <v>15.08647971</v>
      </c>
      <c r="D21" s="22">
        <f>C8-C7</f>
        <v>15.0808</v>
      </c>
      <c r="E21" s="28">
        <f t="shared" ref="E21:E26" si="1">C$18+E$18*D21/1000</f>
        <v>2.0301616</v>
      </c>
      <c r="F21" s="29">
        <f t="shared" ref="F21:F36" si="2">-1/E21</f>
        <v>-0.4925716258</v>
      </c>
      <c r="G21" s="30">
        <f t="shared" ref="G21:G36" si="3">-(D21/1000)/E21</f>
        <v>-0.007428374175</v>
      </c>
      <c r="H21" s="17"/>
      <c r="I21" s="29">
        <f t="shared" ref="I21:I36" si="4">-1000*(D21-F$16-F$17*D21-C21)/E21</f>
        <v>2.829152574</v>
      </c>
      <c r="J21" s="17"/>
      <c r="K21" s="29">
        <f t="shared" ref="K21:K36" si="5">M21*E21</f>
        <v>-5.743636916</v>
      </c>
      <c r="L21" s="29"/>
      <c r="M21" s="31">
        <f t="array" ref="M21:M36">MMULT(F21:G36,G52:G53)-I21:I36</f>
        <v>-2.829152574</v>
      </c>
      <c r="N21" s="17"/>
      <c r="O21" s="17"/>
      <c r="P21" s="29"/>
      <c r="Q21" s="17"/>
      <c r="R21" s="17"/>
      <c r="S21" s="17"/>
      <c r="T21" s="17"/>
      <c r="U21" s="17"/>
      <c r="V21" s="17"/>
      <c r="W21" s="17"/>
      <c r="X21" s="17"/>
      <c r="Y21" s="17"/>
      <c r="Z21" s="17"/>
    </row>
    <row r="22" ht="12.0" customHeight="1">
      <c r="A22" s="9">
        <v>1.0</v>
      </c>
      <c r="B22" s="2">
        <v>3.0</v>
      </c>
      <c r="C22" s="19">
        <f>'SD to HD'!L18</f>
        <v>90.00944701</v>
      </c>
      <c r="D22" s="22">
        <f>C9-C7</f>
        <v>90.0099</v>
      </c>
      <c r="E22" s="28">
        <f t="shared" si="1"/>
        <v>2.1800198</v>
      </c>
      <c r="F22" s="29">
        <f t="shared" si="2"/>
        <v>-0.4587114301</v>
      </c>
      <c r="G22" s="30">
        <f t="shared" si="3"/>
        <v>-0.04128856995</v>
      </c>
      <c r="H22" s="17"/>
      <c r="I22" s="29">
        <f t="shared" si="4"/>
        <v>0.2418553124</v>
      </c>
      <c r="J22" s="17"/>
      <c r="K22" s="29">
        <f t="shared" si="5"/>
        <v>-0.5272493697</v>
      </c>
      <c r="L22" s="29"/>
      <c r="M22" s="31">
        <v>-0.2418553123882051</v>
      </c>
      <c r="N22" s="17"/>
      <c r="O22" s="17"/>
      <c r="P22" s="17"/>
      <c r="Q22" s="17"/>
      <c r="R22" s="17"/>
      <c r="S22" s="17"/>
      <c r="T22" s="17"/>
      <c r="U22" s="17"/>
      <c r="V22" s="17"/>
      <c r="W22" s="17"/>
      <c r="X22" s="17"/>
      <c r="Y22" s="17"/>
      <c r="Z22" s="17"/>
    </row>
    <row r="23" ht="12.0" customHeight="1">
      <c r="A23" s="9">
        <v>1.0</v>
      </c>
      <c r="B23" s="2">
        <v>6.0</v>
      </c>
      <c r="C23" s="19">
        <f>'SD to HD'!L19</f>
        <v>495.0043644</v>
      </c>
      <c r="D23" s="22">
        <f>C12-C7</f>
        <v>495.0063</v>
      </c>
      <c r="E23" s="28">
        <f t="shared" si="1"/>
        <v>2.9900126</v>
      </c>
      <c r="F23" s="29">
        <f t="shared" si="2"/>
        <v>-0.3344467512</v>
      </c>
      <c r="G23" s="30">
        <f t="shared" si="3"/>
        <v>-0.1655532488</v>
      </c>
      <c r="H23" s="17"/>
      <c r="I23" s="29">
        <f t="shared" si="4"/>
        <v>1.336905808</v>
      </c>
      <c r="J23" s="17"/>
      <c r="K23" s="29">
        <f t="shared" si="5"/>
        <v>-3.997365211</v>
      </c>
      <c r="L23" s="29"/>
      <c r="M23" s="31">
        <v>-1.3369058080121121</v>
      </c>
      <c r="N23" s="17"/>
      <c r="O23" s="17"/>
      <c r="P23" s="17"/>
      <c r="Q23" s="17"/>
      <c r="R23" s="17"/>
      <c r="S23" s="17"/>
      <c r="T23" s="17"/>
      <c r="U23" s="17"/>
      <c r="V23" s="17"/>
      <c r="W23" s="17"/>
      <c r="X23" s="17"/>
      <c r="Y23" s="17"/>
      <c r="Z23" s="17"/>
    </row>
    <row r="24" ht="12.0" customHeight="1">
      <c r="A24" s="9">
        <v>1.0</v>
      </c>
      <c r="B24" s="2">
        <v>7.0</v>
      </c>
      <c r="C24" s="19">
        <f>'SD to HD'!L20</f>
        <v>539.9942629</v>
      </c>
      <c r="D24" s="22">
        <f>C13-C7</f>
        <v>539.9994</v>
      </c>
      <c r="E24" s="28">
        <f t="shared" si="1"/>
        <v>3.0799988</v>
      </c>
      <c r="F24" s="29">
        <f t="shared" si="2"/>
        <v>-0.3246754512</v>
      </c>
      <c r="G24" s="30">
        <f t="shared" si="3"/>
        <v>-0.1753245488</v>
      </c>
      <c r="H24" s="17"/>
      <c r="I24" s="29">
        <f t="shared" si="4"/>
        <v>0.4370551087</v>
      </c>
      <c r="J24" s="17"/>
      <c r="K24" s="29">
        <f t="shared" si="5"/>
        <v>-1.34612921</v>
      </c>
      <c r="L24" s="29"/>
      <c r="M24" s="31">
        <v>-0.43705510866143293</v>
      </c>
      <c r="N24" s="17"/>
      <c r="O24" s="17"/>
      <c r="P24" s="17"/>
      <c r="Q24" s="17"/>
      <c r="R24" s="17"/>
      <c r="S24" s="17"/>
      <c r="T24" s="17"/>
      <c r="U24" s="17"/>
      <c r="V24" s="17"/>
      <c r="W24" s="17"/>
      <c r="X24" s="17"/>
      <c r="Y24" s="17"/>
      <c r="Z24" s="17"/>
    </row>
    <row r="25" ht="12.0" customHeight="1">
      <c r="A25" s="9">
        <v>1.0</v>
      </c>
      <c r="B25" s="2">
        <v>8.0</v>
      </c>
      <c r="C25" s="19">
        <f>'SD to HD'!L21</f>
        <v>584.6799134</v>
      </c>
      <c r="D25" s="22">
        <f>C14-C7</f>
        <v>584.6856</v>
      </c>
      <c r="E25" s="28">
        <f t="shared" si="1"/>
        <v>3.1693712</v>
      </c>
      <c r="F25" s="29">
        <f t="shared" si="2"/>
        <v>-0.3155199997</v>
      </c>
      <c r="G25" s="30">
        <f t="shared" si="3"/>
        <v>-0.1844800003</v>
      </c>
      <c r="H25" s="17"/>
      <c r="I25" s="29">
        <f t="shared" si="4"/>
        <v>0.4237611811</v>
      </c>
      <c r="J25" s="17"/>
      <c r="K25" s="29">
        <f t="shared" si="5"/>
        <v>-1.343056483</v>
      </c>
      <c r="L25" s="29"/>
      <c r="M25" s="31">
        <v>-0.4237611810959916</v>
      </c>
      <c r="N25" s="17"/>
      <c r="O25" s="17"/>
      <c r="P25" s="17"/>
      <c r="Q25" s="17"/>
      <c r="R25" s="17"/>
      <c r="S25" s="17"/>
      <c r="T25" s="17"/>
      <c r="U25" s="17"/>
      <c r="V25" s="17"/>
      <c r="W25" s="17"/>
      <c r="X25" s="17"/>
      <c r="Y25" s="17"/>
      <c r="Z25" s="17"/>
    </row>
    <row r="26" ht="12.0" customHeight="1">
      <c r="A26" s="9">
        <v>2.0</v>
      </c>
      <c r="B26" s="2">
        <v>5.0</v>
      </c>
      <c r="C26" s="19">
        <f>'SD to HD'!L22</f>
        <v>374.9176979</v>
      </c>
      <c r="D26" s="22">
        <f>C11-C8</f>
        <v>374.9243</v>
      </c>
      <c r="E26" s="28">
        <f t="shared" si="1"/>
        <v>2.7498486</v>
      </c>
      <c r="F26" s="29">
        <f t="shared" si="2"/>
        <v>-0.3636563846</v>
      </c>
      <c r="G26" s="30">
        <f t="shared" si="3"/>
        <v>-0.1363436154</v>
      </c>
      <c r="H26" s="17"/>
      <c r="I26" s="29">
        <f t="shared" si="4"/>
        <v>-0.777363158</v>
      </c>
      <c r="J26" s="17"/>
      <c r="K26" s="29">
        <f t="shared" si="5"/>
        <v>2.137630992</v>
      </c>
      <c r="L26" s="29"/>
      <c r="M26" s="31">
        <v>0.7773631580528485</v>
      </c>
      <c r="N26" s="17"/>
      <c r="O26" s="17"/>
      <c r="P26" s="17"/>
      <c r="Q26" s="17"/>
      <c r="R26" s="17"/>
      <c r="S26" s="17"/>
      <c r="T26" s="17"/>
      <c r="U26" s="17"/>
      <c r="V26" s="17"/>
      <c r="W26" s="17"/>
      <c r="X26" s="17"/>
      <c r="Y26" s="17"/>
      <c r="Z26" s="17"/>
    </row>
    <row r="27" ht="12.0" customHeight="1">
      <c r="A27" s="9">
        <v>2.0</v>
      </c>
      <c r="B27" s="2">
        <v>6.0</v>
      </c>
      <c r="C27" s="19">
        <f>'SD to HD'!L23</f>
        <v>479.9077363</v>
      </c>
      <c r="D27" s="22">
        <f>C12-C8</f>
        <v>479.9255</v>
      </c>
      <c r="E27" s="28">
        <v>9999.0</v>
      </c>
      <c r="F27" s="29">
        <f t="shared" si="2"/>
        <v>-0.000100010001</v>
      </c>
      <c r="G27" s="30">
        <f t="shared" si="3"/>
        <v>-0.00004799734973</v>
      </c>
      <c r="H27" s="17"/>
      <c r="I27" s="29">
        <f t="shared" si="4"/>
        <v>-0.001201634153</v>
      </c>
      <c r="J27" s="17"/>
      <c r="K27" s="29">
        <f t="shared" si="5"/>
        <v>12.01513989</v>
      </c>
      <c r="L27" s="29"/>
      <c r="M27" s="31">
        <v>0.0012016341527653653</v>
      </c>
      <c r="N27" s="17"/>
      <c r="O27" s="17"/>
      <c r="P27" s="17"/>
      <c r="Q27" s="17"/>
      <c r="R27" s="17"/>
      <c r="S27" s="17"/>
      <c r="T27" s="17"/>
      <c r="U27" s="17"/>
      <c r="V27" s="17"/>
      <c r="W27" s="17"/>
      <c r="X27" s="17"/>
      <c r="Y27" s="17"/>
      <c r="Z27" s="17"/>
    </row>
    <row r="28" ht="12.0" customHeight="1">
      <c r="A28" s="9">
        <v>2.0</v>
      </c>
      <c r="B28" s="2">
        <v>7.0</v>
      </c>
      <c r="C28" s="19">
        <f>'SD to HD'!L24</f>
        <v>524.9078084</v>
      </c>
      <c r="D28" s="22">
        <f>C13-C8</f>
        <v>524.9186</v>
      </c>
      <c r="E28" s="28">
        <f t="shared" ref="E28:E36" si="6">C$18+E$18*D28/1000</f>
        <v>3.0498372</v>
      </c>
      <c r="F28" s="29">
        <f t="shared" si="2"/>
        <v>-0.3278863541</v>
      </c>
      <c r="G28" s="30">
        <f t="shared" si="3"/>
        <v>-0.1721136459</v>
      </c>
      <c r="H28" s="17"/>
      <c r="I28" s="29">
        <f t="shared" si="4"/>
        <v>-1.473116007</v>
      </c>
      <c r="J28" s="17"/>
      <c r="K28" s="29">
        <f t="shared" si="5"/>
        <v>4.492763997</v>
      </c>
      <c r="L28" s="29"/>
      <c r="M28" s="31">
        <v>1.4731160066001878</v>
      </c>
      <c r="N28" s="17"/>
      <c r="O28" s="17"/>
      <c r="P28" s="17"/>
      <c r="Q28" s="17"/>
      <c r="R28" s="17"/>
      <c r="S28" s="17"/>
      <c r="T28" s="17"/>
      <c r="U28" s="17"/>
      <c r="V28" s="17"/>
      <c r="W28" s="17"/>
      <c r="X28" s="17"/>
      <c r="Y28" s="17"/>
      <c r="Z28" s="17"/>
    </row>
    <row r="29" ht="12.0" customHeight="1">
      <c r="A29" s="9">
        <v>3.0</v>
      </c>
      <c r="B29" s="2">
        <v>4.0</v>
      </c>
      <c r="C29" s="19">
        <f>'SD to HD'!L25</f>
        <v>134.9908084</v>
      </c>
      <c r="D29" s="22">
        <f>C10-C9</f>
        <v>134.9947</v>
      </c>
      <c r="E29" s="28">
        <f t="shared" si="6"/>
        <v>2.2699894</v>
      </c>
      <c r="F29" s="29">
        <f t="shared" si="2"/>
        <v>-0.4405306915</v>
      </c>
      <c r="G29" s="30">
        <f t="shared" si="3"/>
        <v>-0.05946930854</v>
      </c>
      <c r="H29" s="17"/>
      <c r="I29" s="29">
        <f t="shared" si="4"/>
        <v>-1.040185956</v>
      </c>
      <c r="J29" s="17"/>
      <c r="K29" s="29">
        <f t="shared" si="5"/>
        <v>2.361211093</v>
      </c>
      <c r="L29" s="29"/>
      <c r="M29" s="31">
        <v>1.040185955656802</v>
      </c>
      <c r="N29" s="17"/>
      <c r="O29" s="17"/>
      <c r="P29" s="17"/>
      <c r="Q29" s="17"/>
      <c r="R29" s="17"/>
      <c r="S29" s="17"/>
      <c r="T29" s="17"/>
      <c r="U29" s="17"/>
      <c r="V29" s="17"/>
      <c r="W29" s="17"/>
      <c r="X29" s="17"/>
      <c r="Y29" s="17"/>
      <c r="Z29" s="17"/>
    </row>
    <row r="30" ht="12.0" customHeight="1">
      <c r="A30" s="9">
        <v>3.0</v>
      </c>
      <c r="B30" s="2">
        <v>5.0</v>
      </c>
      <c r="C30" s="19">
        <f>'SD to HD'!L26</f>
        <v>299.9944899</v>
      </c>
      <c r="D30" s="22">
        <f>C11-C9</f>
        <v>299.9952</v>
      </c>
      <c r="E30" s="28">
        <f t="shared" si="6"/>
        <v>2.5999904</v>
      </c>
      <c r="F30" s="29">
        <f t="shared" si="2"/>
        <v>-0.3846168047</v>
      </c>
      <c r="G30" s="30">
        <f t="shared" si="3"/>
        <v>-0.1153831953</v>
      </c>
      <c r="H30" s="17"/>
      <c r="I30" s="29">
        <f t="shared" si="4"/>
        <v>1.091588835</v>
      </c>
      <c r="J30" s="17"/>
      <c r="K30" s="29">
        <f t="shared" si="5"/>
        <v>-2.838120493</v>
      </c>
      <c r="L30" s="29"/>
      <c r="M30" s="31">
        <v>-1.0915888354271277</v>
      </c>
      <c r="N30" s="17"/>
      <c r="O30" s="17"/>
      <c r="P30" s="17"/>
      <c r="Q30" s="17"/>
      <c r="R30" s="17"/>
      <c r="S30" s="17"/>
      <c r="T30" s="17"/>
      <c r="U30" s="17"/>
      <c r="V30" s="17"/>
      <c r="W30" s="17"/>
      <c r="X30" s="17"/>
      <c r="Y30" s="17"/>
      <c r="Z30" s="17"/>
    </row>
    <row r="31" ht="12.0" customHeight="1">
      <c r="A31" s="9">
        <v>3.0</v>
      </c>
      <c r="B31" s="2">
        <v>7.0</v>
      </c>
      <c r="C31" s="19">
        <f>'SD to HD'!L27</f>
        <v>449.9847236</v>
      </c>
      <c r="D31" s="22">
        <f>C13-C9</f>
        <v>449.9895</v>
      </c>
      <c r="E31" s="28">
        <f t="shared" si="6"/>
        <v>2.899979</v>
      </c>
      <c r="F31" s="29">
        <f t="shared" si="2"/>
        <v>-0.3448300833</v>
      </c>
      <c r="G31" s="30">
        <f t="shared" si="3"/>
        <v>-0.1551699167</v>
      </c>
      <c r="H31" s="17"/>
      <c r="I31" s="29">
        <f t="shared" si="4"/>
        <v>0.2089937987</v>
      </c>
      <c r="J31" s="17"/>
      <c r="K31" s="29">
        <f t="shared" si="5"/>
        <v>-0.6060776274</v>
      </c>
      <c r="L31" s="29"/>
      <c r="M31" s="31">
        <v>-0.20899379871889914</v>
      </c>
      <c r="N31" s="17"/>
      <c r="O31" s="17"/>
      <c r="P31" s="17"/>
      <c r="Q31" s="17"/>
      <c r="R31" s="17"/>
      <c r="S31" s="17"/>
      <c r="T31" s="17"/>
      <c r="U31" s="17"/>
      <c r="V31" s="17"/>
      <c r="W31" s="17"/>
      <c r="X31" s="17"/>
      <c r="Y31" s="17"/>
      <c r="Z31" s="17"/>
    </row>
    <row r="32" ht="12.0" customHeight="1">
      <c r="A32" s="9">
        <v>3.0</v>
      </c>
      <c r="B32" s="2">
        <v>8.0</v>
      </c>
      <c r="C32" s="19">
        <f>'SD to HD'!L28</f>
        <v>494.6708101</v>
      </c>
      <c r="D32" s="22">
        <f>C14-C9</f>
        <v>494.6757</v>
      </c>
      <c r="E32" s="28">
        <f t="shared" si="6"/>
        <v>2.9893514</v>
      </c>
      <c r="F32" s="29">
        <f t="shared" si="2"/>
        <v>-0.3345207258</v>
      </c>
      <c r="G32" s="30">
        <f t="shared" si="3"/>
        <v>-0.1654792742</v>
      </c>
      <c r="H32" s="17"/>
      <c r="I32" s="29">
        <f t="shared" si="4"/>
        <v>0.3475807917</v>
      </c>
      <c r="J32" s="17"/>
      <c r="K32" s="29">
        <f t="shared" si="5"/>
        <v>-1.039041126</v>
      </c>
      <c r="L32" s="29"/>
      <c r="M32" s="31">
        <v>-0.34758079167159206</v>
      </c>
      <c r="N32" s="17"/>
      <c r="O32" s="17"/>
      <c r="P32" s="17"/>
      <c r="Q32" s="17"/>
      <c r="R32" s="17"/>
      <c r="S32" s="17"/>
      <c r="T32" s="17"/>
      <c r="U32" s="17"/>
      <c r="V32" s="17"/>
      <c r="W32" s="17"/>
      <c r="X32" s="17"/>
      <c r="Y32" s="17"/>
      <c r="Z32" s="17"/>
    </row>
    <row r="33" ht="12.0" customHeight="1">
      <c r="A33" s="9">
        <v>5.0</v>
      </c>
      <c r="B33" s="2">
        <v>6.0</v>
      </c>
      <c r="C33" s="19">
        <f>'SD to HD'!L29</f>
        <v>105.0001695</v>
      </c>
      <c r="D33" s="22">
        <f>C12-C11</f>
        <v>105.0012</v>
      </c>
      <c r="E33" s="28">
        <f t="shared" si="6"/>
        <v>2.2100024</v>
      </c>
      <c r="F33" s="29">
        <f t="shared" si="2"/>
        <v>-0.4524881964</v>
      </c>
      <c r="G33" s="30">
        <f t="shared" si="3"/>
        <v>-0.04751180361</v>
      </c>
      <c r="H33" s="17"/>
      <c r="I33" s="29">
        <f t="shared" si="4"/>
        <v>0.06022906927</v>
      </c>
      <c r="J33" s="17"/>
      <c r="K33" s="29">
        <f t="shared" si="5"/>
        <v>-0.1331063876</v>
      </c>
      <c r="L33" s="29"/>
      <c r="M33" s="31">
        <v>-0.060229069264709126</v>
      </c>
      <c r="N33" s="17"/>
      <c r="O33" s="17"/>
      <c r="P33" s="17"/>
      <c r="Q33" s="17"/>
      <c r="R33" s="17"/>
      <c r="S33" s="17"/>
      <c r="T33" s="17"/>
      <c r="U33" s="17"/>
      <c r="V33" s="17"/>
      <c r="W33" s="17"/>
      <c r="X33" s="17"/>
      <c r="Y33" s="17"/>
      <c r="Z33" s="17"/>
    </row>
    <row r="34" ht="12.0" customHeight="1">
      <c r="A34" s="9">
        <v>5.0</v>
      </c>
      <c r="B34" s="2">
        <v>7.0</v>
      </c>
      <c r="C34" s="19">
        <f>'SD to HD'!L30</f>
        <v>149.9906211</v>
      </c>
      <c r="D34" s="22">
        <f>C13-C11</f>
        <v>149.9943</v>
      </c>
      <c r="E34" s="28">
        <f t="shared" si="6"/>
        <v>2.2999886</v>
      </c>
      <c r="F34" s="29">
        <f t="shared" si="2"/>
        <v>-0.4347847637</v>
      </c>
      <c r="G34" s="30">
        <f t="shared" si="3"/>
        <v>-0.06521523628</v>
      </c>
      <c r="H34" s="17"/>
      <c r="I34" s="29">
        <f t="shared" si="4"/>
        <v>-0.8543980692</v>
      </c>
      <c r="J34" s="17"/>
      <c r="K34" s="29">
        <f t="shared" si="5"/>
        <v>1.965105819</v>
      </c>
      <c r="L34" s="29"/>
      <c r="M34" s="31">
        <v>0.8543980691752565</v>
      </c>
      <c r="N34" s="17"/>
      <c r="O34" s="17"/>
      <c r="P34" s="17"/>
      <c r="Q34" s="17"/>
      <c r="R34" s="17"/>
      <c r="S34" s="17"/>
      <c r="T34" s="17"/>
      <c r="U34" s="17"/>
      <c r="V34" s="17"/>
      <c r="W34" s="17"/>
      <c r="X34" s="17"/>
      <c r="Y34" s="17"/>
      <c r="Z34" s="17"/>
    </row>
    <row r="35" ht="12.0" customHeight="1">
      <c r="A35" s="9">
        <v>5.0</v>
      </c>
      <c r="B35" s="2">
        <v>8.0</v>
      </c>
      <c r="C35" s="19">
        <f>'SD to HD'!L31</f>
        <v>194.6747322</v>
      </c>
      <c r="D35" s="22">
        <f>C14-C11</f>
        <v>194.6805</v>
      </c>
      <c r="E35" s="28">
        <f t="shared" si="6"/>
        <v>2.389361</v>
      </c>
      <c r="F35" s="29">
        <f t="shared" si="2"/>
        <v>-0.4185219395</v>
      </c>
      <c r="G35" s="30">
        <f t="shared" si="3"/>
        <v>-0.08147806045</v>
      </c>
      <c r="H35" s="17"/>
      <c r="I35" s="29">
        <f t="shared" si="4"/>
        <v>-1.467970134</v>
      </c>
      <c r="J35" s="17"/>
      <c r="K35" s="29">
        <f t="shared" si="5"/>
        <v>3.507510588</v>
      </c>
      <c r="L35" s="29"/>
      <c r="M35" s="31">
        <v>1.4679701343062086</v>
      </c>
      <c r="N35" s="17"/>
      <c r="O35" s="17"/>
      <c r="P35" s="17"/>
      <c r="Q35" s="17"/>
      <c r="R35" s="17"/>
      <c r="S35" s="17"/>
      <c r="T35" s="17"/>
      <c r="U35" s="17"/>
      <c r="V35" s="17"/>
      <c r="W35" s="17"/>
      <c r="X35" s="17"/>
      <c r="Y35" s="17"/>
      <c r="Z35" s="17"/>
    </row>
    <row r="36" ht="12.0" customHeight="1">
      <c r="A36" s="9">
        <v>7.0</v>
      </c>
      <c r="B36" s="2">
        <v>8.0</v>
      </c>
      <c r="C36" s="19">
        <f>'SD to HD'!L32</f>
        <v>44.68292394</v>
      </c>
      <c r="D36" s="22">
        <f>C14-C13</f>
        <v>44.6862</v>
      </c>
      <c r="E36" s="28">
        <f t="shared" si="6"/>
        <v>2.0893724</v>
      </c>
      <c r="F36" s="29">
        <f t="shared" si="2"/>
        <v>-0.4786126207</v>
      </c>
      <c r="G36" s="30">
        <f t="shared" si="3"/>
        <v>-0.02138737929</v>
      </c>
      <c r="H36" s="17"/>
      <c r="I36" s="29">
        <f t="shared" si="4"/>
        <v>-1.364088799</v>
      </c>
      <c r="J36" s="17"/>
      <c r="K36" s="29">
        <f t="shared" si="5"/>
        <v>2.850089489</v>
      </c>
      <c r="L36" s="29"/>
      <c r="M36" s="31">
        <v>1.3640887994171402</v>
      </c>
      <c r="N36" s="17"/>
      <c r="O36" s="17"/>
      <c r="P36" s="17"/>
      <c r="Q36" s="17"/>
      <c r="R36" s="17"/>
      <c r="S36" s="17"/>
      <c r="T36" s="17"/>
      <c r="U36" s="17"/>
      <c r="V36" s="17"/>
      <c r="W36" s="17"/>
      <c r="X36" s="17"/>
      <c r="Y36" s="17"/>
      <c r="Z36" s="17"/>
    </row>
    <row r="37" ht="12.0" customHeight="1">
      <c r="A37" s="18"/>
      <c r="B37" s="17"/>
      <c r="C37" s="19"/>
      <c r="D37" s="22"/>
      <c r="E37" s="28"/>
      <c r="F37" s="29"/>
      <c r="G37" s="30"/>
      <c r="H37" s="17"/>
      <c r="I37" s="29"/>
      <c r="J37" s="17"/>
      <c r="K37" s="29"/>
      <c r="L37" s="29"/>
      <c r="M37" s="32"/>
      <c r="N37" s="17"/>
      <c r="O37" s="17"/>
      <c r="P37" s="17"/>
      <c r="Q37" s="17"/>
      <c r="R37" s="17"/>
      <c r="S37" s="17"/>
      <c r="T37" s="17"/>
      <c r="U37" s="17"/>
      <c r="V37" s="17"/>
      <c r="W37" s="17"/>
      <c r="X37" s="17"/>
      <c r="Y37" s="17"/>
      <c r="Z37" s="17"/>
    </row>
    <row r="38" ht="12.0" customHeight="1">
      <c r="A38" s="18"/>
      <c r="B38" s="17"/>
      <c r="C38" s="6"/>
      <c r="D38" s="22"/>
      <c r="E38" s="28"/>
      <c r="F38" s="29"/>
      <c r="G38" s="30"/>
      <c r="H38" s="17"/>
      <c r="I38" s="29"/>
      <c r="J38" s="17"/>
      <c r="K38" s="29"/>
      <c r="L38" s="29"/>
      <c r="M38" s="32"/>
      <c r="N38" s="17"/>
      <c r="O38" s="17"/>
      <c r="P38" s="17"/>
      <c r="Q38" s="17"/>
      <c r="R38" s="17"/>
      <c r="S38" s="17"/>
      <c r="T38" s="17"/>
      <c r="U38" s="17"/>
      <c r="V38" s="17"/>
      <c r="W38" s="17"/>
      <c r="X38" s="17"/>
      <c r="Y38" s="17"/>
      <c r="Z38" s="17"/>
    </row>
    <row r="39" ht="12.0" customHeight="1">
      <c r="A39" s="18"/>
      <c r="B39" s="17"/>
      <c r="C39" s="6"/>
      <c r="D39" s="22"/>
      <c r="E39" s="28"/>
      <c r="F39" s="29"/>
      <c r="G39" s="30"/>
      <c r="H39" s="17"/>
      <c r="I39" s="29"/>
      <c r="J39" s="17"/>
      <c r="K39" s="29"/>
      <c r="L39" s="29"/>
      <c r="M39" s="32"/>
      <c r="N39" s="17"/>
      <c r="O39" s="17"/>
      <c r="P39" s="17"/>
      <c r="Q39" s="17"/>
      <c r="R39" s="17"/>
      <c r="S39" s="17"/>
      <c r="T39" s="17"/>
      <c r="U39" s="17"/>
      <c r="V39" s="17"/>
      <c r="W39" s="17"/>
      <c r="X39" s="17"/>
      <c r="Y39" s="17"/>
      <c r="Z39" s="17"/>
    </row>
    <row r="40" ht="12.0" customHeight="1">
      <c r="A40" s="18"/>
      <c r="B40" s="17"/>
      <c r="C40" s="6"/>
      <c r="D40" s="22"/>
      <c r="E40" s="28"/>
      <c r="F40" s="29"/>
      <c r="G40" s="30"/>
      <c r="H40" s="17"/>
      <c r="I40" s="29"/>
      <c r="J40" s="17"/>
      <c r="K40" s="29"/>
      <c r="L40" s="29"/>
      <c r="M40" s="32"/>
      <c r="N40" s="17"/>
      <c r="O40" s="17"/>
      <c r="P40" s="17"/>
      <c r="Q40" s="17"/>
      <c r="R40" s="17"/>
      <c r="S40" s="17"/>
      <c r="T40" s="17"/>
      <c r="U40" s="17"/>
      <c r="V40" s="17"/>
      <c r="W40" s="17"/>
      <c r="X40" s="17"/>
      <c r="Y40" s="17"/>
      <c r="Z40" s="17"/>
    </row>
    <row r="41" ht="12.0" customHeight="1">
      <c r="A41" s="18"/>
      <c r="B41" s="17"/>
      <c r="C41" s="19"/>
      <c r="D41" s="22"/>
      <c r="E41" s="28"/>
      <c r="F41" s="29"/>
      <c r="G41" s="30"/>
      <c r="H41" s="17"/>
      <c r="I41" s="29"/>
      <c r="J41" s="17"/>
      <c r="K41" s="29"/>
      <c r="L41" s="29"/>
      <c r="M41" s="32"/>
      <c r="N41" s="17"/>
      <c r="O41" s="17"/>
      <c r="P41" s="17"/>
      <c r="Q41" s="17"/>
      <c r="R41" s="17"/>
      <c r="S41" s="17"/>
      <c r="T41" s="17"/>
      <c r="U41" s="17"/>
      <c r="V41" s="17"/>
      <c r="W41" s="17"/>
      <c r="X41" s="17"/>
      <c r="Y41" s="17"/>
      <c r="Z41" s="17"/>
    </row>
    <row r="42" ht="12.0" customHeight="1">
      <c r="A42" s="18"/>
      <c r="B42" s="17"/>
      <c r="C42" s="6"/>
      <c r="D42" s="22"/>
      <c r="E42" s="28"/>
      <c r="F42" s="29"/>
      <c r="G42" s="30"/>
      <c r="H42" s="17"/>
      <c r="I42" s="29"/>
      <c r="J42" s="17"/>
      <c r="K42" s="29"/>
      <c r="L42" s="29"/>
      <c r="M42" s="32"/>
      <c r="N42" s="17"/>
      <c r="O42" s="17"/>
      <c r="P42" s="17"/>
      <c r="Q42" s="17"/>
      <c r="R42" s="17"/>
      <c r="S42" s="17"/>
      <c r="T42" s="17"/>
      <c r="U42" s="17"/>
      <c r="V42" s="17"/>
      <c r="W42" s="17"/>
      <c r="X42" s="17"/>
      <c r="Y42" s="17"/>
      <c r="Z42" s="17"/>
    </row>
    <row r="43" ht="12.0" customHeight="1">
      <c r="A43" s="18"/>
      <c r="B43" s="17"/>
      <c r="C43" s="6"/>
      <c r="D43" s="22"/>
      <c r="E43" s="28"/>
      <c r="F43" s="29"/>
      <c r="G43" s="30"/>
      <c r="H43" s="17"/>
      <c r="I43" s="29"/>
      <c r="J43" s="17"/>
      <c r="K43" s="29"/>
      <c r="L43" s="29"/>
      <c r="M43" s="32"/>
      <c r="N43" s="17"/>
      <c r="O43" s="17"/>
      <c r="P43" s="17"/>
      <c r="Q43" s="17"/>
      <c r="R43" s="17"/>
      <c r="S43" s="17"/>
      <c r="T43" s="17"/>
      <c r="U43" s="17"/>
      <c r="V43" s="17"/>
      <c r="W43" s="17"/>
      <c r="X43" s="17"/>
      <c r="Y43" s="17"/>
      <c r="Z43" s="17"/>
    </row>
    <row r="44" ht="12.0" customHeight="1">
      <c r="A44" s="18"/>
      <c r="B44" s="17"/>
      <c r="C44" s="19"/>
      <c r="D44" s="22"/>
      <c r="E44" s="28"/>
      <c r="F44" s="29"/>
      <c r="G44" s="30"/>
      <c r="H44" s="17"/>
      <c r="I44" s="29"/>
      <c r="J44" s="17"/>
      <c r="K44" s="29"/>
      <c r="L44" s="29"/>
      <c r="M44" s="32"/>
      <c r="N44" s="17"/>
      <c r="O44" s="17"/>
      <c r="P44" s="17"/>
      <c r="Q44" s="17"/>
      <c r="R44" s="17"/>
      <c r="S44" s="17"/>
      <c r="T44" s="17"/>
      <c r="U44" s="17"/>
      <c r="V44" s="17"/>
      <c r="W44" s="17"/>
      <c r="X44" s="17"/>
      <c r="Y44" s="17"/>
      <c r="Z44" s="17"/>
    </row>
    <row r="45" ht="12.0" customHeight="1">
      <c r="A45" s="18"/>
      <c r="B45" s="17"/>
      <c r="C45" s="6"/>
      <c r="D45" s="22"/>
      <c r="E45" s="28"/>
      <c r="F45" s="29"/>
      <c r="G45" s="30"/>
      <c r="H45" s="17"/>
      <c r="I45" s="29"/>
      <c r="J45" s="17"/>
      <c r="K45" s="29"/>
      <c r="L45" s="29"/>
      <c r="M45" s="32"/>
      <c r="N45" s="17"/>
      <c r="O45" s="17"/>
      <c r="P45" s="17"/>
      <c r="Q45" s="17"/>
      <c r="R45" s="17"/>
      <c r="S45" s="17"/>
      <c r="T45" s="17"/>
      <c r="U45" s="17"/>
      <c r="V45" s="17"/>
      <c r="W45" s="17"/>
      <c r="X45" s="17"/>
      <c r="Y45" s="17"/>
      <c r="Z45" s="17"/>
    </row>
    <row r="46" ht="12.0" customHeight="1">
      <c r="A46" s="18"/>
      <c r="B46" s="17"/>
      <c r="C46" s="19"/>
      <c r="D46" s="22"/>
      <c r="E46" s="28"/>
      <c r="F46" s="29"/>
      <c r="G46" s="30"/>
      <c r="H46" s="17"/>
      <c r="I46" s="29"/>
      <c r="J46" s="17"/>
      <c r="K46" s="29"/>
      <c r="L46" s="29"/>
      <c r="M46" s="32"/>
      <c r="N46" s="17"/>
      <c r="O46" s="17"/>
      <c r="P46" s="17"/>
      <c r="Q46" s="17"/>
      <c r="R46" s="17"/>
      <c r="S46" s="17"/>
      <c r="T46" s="17"/>
      <c r="U46" s="17"/>
      <c r="V46" s="17"/>
      <c r="W46" s="17"/>
      <c r="X46" s="17"/>
      <c r="Y46" s="17"/>
      <c r="Z46" s="17"/>
    </row>
    <row r="47" ht="12.0" customHeight="1">
      <c r="A47" s="18"/>
      <c r="B47" s="17"/>
      <c r="C47" s="6"/>
      <c r="D47" s="22"/>
      <c r="E47" s="28"/>
      <c r="F47" s="29"/>
      <c r="G47" s="30"/>
      <c r="H47" s="17"/>
      <c r="I47" s="29"/>
      <c r="J47" s="17"/>
      <c r="K47" s="29"/>
      <c r="L47" s="29"/>
      <c r="M47" s="32"/>
      <c r="N47" s="17"/>
      <c r="O47" s="17"/>
      <c r="P47" s="17"/>
      <c r="Q47" s="17"/>
      <c r="R47" s="17"/>
      <c r="S47" s="17"/>
      <c r="T47" s="17"/>
      <c r="U47" s="17"/>
      <c r="V47" s="17"/>
      <c r="W47" s="17"/>
      <c r="X47" s="17"/>
      <c r="Y47" s="17"/>
      <c r="Z47" s="17"/>
    </row>
    <row r="48" ht="12.0" customHeight="1">
      <c r="A48" s="18"/>
      <c r="B48" s="17"/>
      <c r="C48" s="19"/>
      <c r="D48" s="22"/>
      <c r="E48" s="28"/>
      <c r="F48" s="29"/>
      <c r="G48" s="30"/>
      <c r="H48" s="17"/>
      <c r="I48" s="29"/>
      <c r="J48" s="17"/>
      <c r="K48" s="29"/>
      <c r="L48" s="29"/>
      <c r="M48" s="32"/>
      <c r="N48" s="17"/>
      <c r="O48" s="17"/>
      <c r="P48" s="17"/>
      <c r="Q48" s="17"/>
      <c r="R48" s="17"/>
      <c r="S48" s="17"/>
      <c r="T48" s="17"/>
      <c r="U48" s="17"/>
      <c r="V48" s="17"/>
      <c r="W48" s="17"/>
      <c r="X48" s="17"/>
      <c r="Y48" s="17"/>
      <c r="Z48" s="17"/>
    </row>
    <row r="49" ht="12.0" customHeight="1">
      <c r="A49" s="18"/>
      <c r="B49" s="27" t="s">
        <v>77</v>
      </c>
      <c r="C49" s="17">
        <f>COUNT(C21:C36)</f>
        <v>16</v>
      </c>
      <c r="D49" s="22"/>
      <c r="E49" s="41"/>
      <c r="F49" s="18"/>
      <c r="G49" s="30"/>
      <c r="H49" s="17"/>
      <c r="I49" s="29"/>
      <c r="J49" s="17"/>
      <c r="K49" s="29"/>
      <c r="L49" s="29"/>
      <c r="M49" s="32"/>
      <c r="N49" s="17"/>
      <c r="O49" s="17"/>
      <c r="P49" s="17"/>
      <c r="Q49" s="17"/>
      <c r="R49" s="17"/>
      <c r="S49" s="17"/>
      <c r="T49" s="17"/>
      <c r="U49" s="17"/>
      <c r="V49" s="17"/>
      <c r="W49" s="17"/>
      <c r="X49" s="17"/>
      <c r="Y49" s="17"/>
      <c r="Z49" s="17"/>
    </row>
    <row r="50" ht="12.0" customHeight="1">
      <c r="A50" s="17"/>
      <c r="B50" s="27" t="s">
        <v>78</v>
      </c>
      <c r="C50" s="17">
        <f>C49-2</f>
        <v>14</v>
      </c>
      <c r="D50" s="17"/>
      <c r="E50" s="17"/>
      <c r="F50" s="17"/>
      <c r="G50" s="17"/>
      <c r="H50" s="17"/>
      <c r="I50" s="17"/>
      <c r="J50" s="17"/>
      <c r="K50" s="17"/>
      <c r="L50" s="27" t="s">
        <v>79</v>
      </c>
      <c r="M50" s="31">
        <f>SUMSQ(M21:M36)/C50</f>
        <v>1.441586701</v>
      </c>
      <c r="N50" s="17"/>
      <c r="O50" s="17"/>
      <c r="P50" s="17"/>
      <c r="Q50" s="17"/>
      <c r="R50" s="17"/>
      <c r="S50" s="17"/>
      <c r="T50" s="17"/>
      <c r="U50" s="17"/>
      <c r="V50" s="17"/>
      <c r="W50" s="17"/>
      <c r="X50" s="17"/>
      <c r="Y50" s="17"/>
      <c r="Z50" s="17"/>
    </row>
    <row r="51" ht="12.0" customHeight="1">
      <c r="A51" s="17"/>
      <c r="B51" s="17"/>
      <c r="C51" s="30"/>
      <c r="D51" s="30"/>
      <c r="E51" s="17"/>
      <c r="F51" s="17"/>
      <c r="G51" s="17"/>
      <c r="H51" s="17"/>
      <c r="I51" s="30"/>
      <c r="J51" s="17"/>
      <c r="K51" s="17"/>
      <c r="L51" s="17"/>
      <c r="M51" s="17"/>
      <c r="N51" s="17"/>
      <c r="O51" s="17"/>
      <c r="P51" s="17"/>
      <c r="Q51" s="17"/>
      <c r="R51" s="17"/>
      <c r="S51" s="17"/>
      <c r="T51" s="17"/>
      <c r="U51" s="17"/>
      <c r="V51" s="17"/>
      <c r="W51" s="17"/>
      <c r="X51" s="17"/>
      <c r="Y51" s="17"/>
      <c r="Z51" s="17"/>
    </row>
    <row r="52" ht="12.0" customHeight="1">
      <c r="A52" s="17"/>
      <c r="B52" s="17" t="s">
        <v>93</v>
      </c>
      <c r="C52" s="33">
        <f t="array" ref="C52:D53">MINVERSE(MMULT(TRANSPOSE(F21:G36),F21:G36))</f>
        <v>1.091161092</v>
      </c>
      <c r="D52" s="34">
        <v>-2.789114136464249</v>
      </c>
      <c r="F52" s="17" t="s">
        <v>81</v>
      </c>
      <c r="G52" s="35">
        <f t="array" ref="G52:G53">MMULT(C52:D53,MMULT(TRANSPOSE(F21:G36),I21:I36))</f>
        <v>0</v>
      </c>
      <c r="H52" s="17"/>
      <c r="I52" s="17"/>
      <c r="J52" s="17"/>
      <c r="K52" s="17"/>
      <c r="L52" s="17"/>
      <c r="M52" s="17"/>
      <c r="N52" s="17"/>
      <c r="O52" s="17"/>
      <c r="P52" s="17"/>
      <c r="Q52" s="17"/>
      <c r="R52" s="17"/>
      <c r="S52" s="17"/>
      <c r="T52" s="17"/>
      <c r="U52" s="17"/>
      <c r="V52" s="17"/>
      <c r="W52" s="17"/>
      <c r="X52" s="17"/>
      <c r="Y52" s="17"/>
      <c r="Z52" s="17"/>
    </row>
    <row r="53" ht="12.0" customHeight="1">
      <c r="A53" s="17"/>
      <c r="B53" s="17"/>
      <c r="C53" s="36">
        <v>-2.789114136464249</v>
      </c>
      <c r="D53" s="37">
        <v>11.59214808165044</v>
      </c>
      <c r="F53" s="17"/>
      <c r="G53" s="38">
        <v>7.96880579256202E-12</v>
      </c>
      <c r="H53" s="17"/>
      <c r="I53" s="17"/>
      <c r="J53" s="17"/>
      <c r="K53" s="17"/>
      <c r="L53" s="17"/>
      <c r="M53" s="17"/>
      <c r="N53" s="17"/>
      <c r="O53" s="17"/>
      <c r="P53" s="17"/>
      <c r="Q53" s="17"/>
      <c r="R53" s="17"/>
      <c r="S53" s="17"/>
      <c r="T53" s="17"/>
      <c r="U53" s="17"/>
      <c r="V53" s="17"/>
      <c r="W53" s="17"/>
      <c r="X53" s="17"/>
      <c r="Y53" s="17"/>
      <c r="Z53" s="17"/>
    </row>
    <row r="54" ht="12.0" customHeight="1">
      <c r="A54" s="17"/>
      <c r="B54" s="17"/>
      <c r="C54" s="17"/>
      <c r="D54" s="17"/>
      <c r="J54" s="17"/>
      <c r="K54" s="17"/>
      <c r="L54" s="17"/>
      <c r="M54" s="17"/>
      <c r="N54" s="17"/>
      <c r="P54" s="17"/>
      <c r="Q54" s="17"/>
      <c r="R54" s="17"/>
      <c r="S54" s="17"/>
      <c r="T54" s="17"/>
      <c r="U54" s="17"/>
      <c r="V54" s="17"/>
      <c r="W54" s="17"/>
      <c r="X54" s="17"/>
      <c r="Y54" s="17"/>
      <c r="Z54" s="17"/>
    </row>
    <row r="55" ht="12.0" customHeight="1">
      <c r="A55" s="17"/>
      <c r="B55" s="17"/>
      <c r="C55" s="17" t="s">
        <v>83</v>
      </c>
      <c r="D55" s="17"/>
      <c r="E55" s="17" t="s">
        <v>84</v>
      </c>
      <c r="F55" s="17"/>
      <c r="G55" s="17" t="s">
        <v>85</v>
      </c>
      <c r="H55" s="17"/>
      <c r="I55" s="17"/>
      <c r="J55" s="17"/>
      <c r="K55" s="17"/>
      <c r="L55" s="17"/>
      <c r="M55" s="17"/>
      <c r="N55" s="17"/>
      <c r="O55" s="17"/>
      <c r="P55" s="17"/>
      <c r="Q55" s="17"/>
      <c r="R55" s="17"/>
      <c r="S55" s="17"/>
      <c r="T55" s="17"/>
      <c r="U55" s="17"/>
      <c r="V55" s="17"/>
      <c r="W55" s="17"/>
      <c r="X55" s="17"/>
      <c r="Y55" s="17"/>
      <c r="Z55" s="17"/>
    </row>
    <row r="56" ht="12.0" customHeight="1">
      <c r="A56" s="17"/>
      <c r="B56" s="17" t="s">
        <v>86</v>
      </c>
      <c r="C56" s="57">
        <f t="shared" ref="C56:C57" si="7">C16+G52</f>
        <v>-0.120499184</v>
      </c>
      <c r="D56" s="17" t="s">
        <v>61</v>
      </c>
      <c r="E56" s="39">
        <f>SQRT(C52)</f>
        <v>1.044586565</v>
      </c>
      <c r="F56" s="17" t="s">
        <v>61</v>
      </c>
      <c r="G56" s="29">
        <f t="shared" ref="G56:G57" si="8">TINV(0.05,C$50)*E56</f>
        <v>2.240415359</v>
      </c>
      <c r="H56" s="17"/>
      <c r="I56" s="17" t="s">
        <v>87</v>
      </c>
      <c r="J56" s="17"/>
      <c r="K56" s="17"/>
      <c r="L56" s="17"/>
      <c r="M56" s="17"/>
      <c r="N56" s="17"/>
      <c r="O56" s="17"/>
      <c r="P56" s="17"/>
      <c r="Q56" s="17"/>
      <c r="R56" s="17"/>
      <c r="S56" s="17"/>
      <c r="T56" s="17"/>
      <c r="U56" s="17"/>
      <c r="V56" s="17"/>
      <c r="W56" s="17"/>
      <c r="X56" s="17"/>
      <c r="Y56" s="17"/>
      <c r="Z56" s="17"/>
    </row>
    <row r="57" ht="12.0" customHeight="1">
      <c r="A57" s="17"/>
      <c r="B57" s="17" t="s">
        <v>88</v>
      </c>
      <c r="C57" s="57">
        <f t="shared" si="7"/>
        <v>12.22911678</v>
      </c>
      <c r="D57" s="17" t="s">
        <v>64</v>
      </c>
      <c r="E57" s="39">
        <f>SQRT(D53)</f>
        <v>3.404724377</v>
      </c>
      <c r="F57" s="17" t="s">
        <v>64</v>
      </c>
      <c r="G57" s="29">
        <f t="shared" si="8"/>
        <v>7.302407519</v>
      </c>
      <c r="H57" s="17"/>
      <c r="I57" s="30">
        <f>D52/(SQRT(C52)*SQRT(D53))</f>
        <v>-0.7842235699</v>
      </c>
      <c r="J57" s="17"/>
      <c r="K57" s="17"/>
      <c r="L57" s="17"/>
      <c r="M57" s="17"/>
      <c r="N57" s="17"/>
      <c r="O57" s="17"/>
      <c r="P57" s="17"/>
      <c r="Q57" s="17"/>
      <c r="R57" s="17"/>
      <c r="S57" s="17"/>
      <c r="T57" s="17"/>
      <c r="U57" s="17"/>
      <c r="V57" s="17"/>
      <c r="W57" s="17"/>
      <c r="X57" s="17"/>
      <c r="Y57" s="17"/>
      <c r="Z57" s="17"/>
    </row>
    <row r="58" ht="12.0" customHeight="1">
      <c r="A58" s="17"/>
      <c r="B58" s="17"/>
      <c r="C58" s="40"/>
      <c r="D58" s="17"/>
      <c r="E58" s="17"/>
      <c r="F58" s="17"/>
      <c r="G58" s="17"/>
      <c r="H58" s="17"/>
      <c r="I58" s="17"/>
      <c r="J58" s="17"/>
      <c r="K58" s="17"/>
      <c r="L58" s="17"/>
      <c r="M58" s="17"/>
      <c r="N58" s="17"/>
      <c r="O58" s="17"/>
      <c r="P58" s="17"/>
      <c r="Q58" s="17"/>
      <c r="R58" s="17"/>
      <c r="S58" s="17"/>
      <c r="T58" s="17"/>
      <c r="U58" s="17"/>
      <c r="V58" s="17"/>
      <c r="W58" s="17"/>
      <c r="X58" s="17"/>
      <c r="Y58" s="17"/>
      <c r="Z58" s="17"/>
    </row>
    <row r="59" ht="12.0" customHeight="1">
      <c r="A59" s="17" t="s">
        <v>89</v>
      </c>
      <c r="B59" s="17"/>
      <c r="C59" s="17"/>
      <c r="D59" s="6">
        <v>654.321</v>
      </c>
      <c r="E59" s="17" t="s">
        <v>90</v>
      </c>
      <c r="F59" s="17"/>
      <c r="G59" s="17"/>
      <c r="H59" s="17"/>
      <c r="I59" s="17"/>
      <c r="J59" s="17"/>
      <c r="K59" s="17"/>
      <c r="L59" s="17"/>
      <c r="M59" s="17"/>
      <c r="N59" s="17"/>
      <c r="O59" s="17"/>
      <c r="P59" s="17"/>
      <c r="Q59" s="17"/>
      <c r="R59" s="17"/>
      <c r="S59" s="17"/>
      <c r="T59" s="17"/>
      <c r="U59" s="17"/>
      <c r="V59" s="17"/>
      <c r="W59" s="17"/>
      <c r="X59" s="17"/>
      <c r="Y59" s="17"/>
      <c r="Z59" s="17"/>
    </row>
    <row r="60" ht="12.0" customHeight="1">
      <c r="A60" s="17"/>
      <c r="B60" s="17"/>
      <c r="C60" s="17"/>
      <c r="D60" s="23">
        <f>D59+C56/1000+C57*D59/1000000</f>
        <v>654.3288813</v>
      </c>
      <c r="E60" s="17" t="s">
        <v>91</v>
      </c>
      <c r="F60" s="17"/>
      <c r="G60" s="17"/>
      <c r="H60" s="17"/>
      <c r="I60" s="17"/>
      <c r="J60" s="17"/>
      <c r="K60" s="17"/>
      <c r="L60" s="17"/>
      <c r="M60" s="17"/>
      <c r="N60" s="17"/>
      <c r="O60" s="17"/>
      <c r="P60" s="17"/>
      <c r="Q60" s="17"/>
      <c r="R60" s="17"/>
      <c r="S60" s="17"/>
      <c r="T60" s="17"/>
      <c r="U60" s="17"/>
      <c r="V60" s="17"/>
      <c r="W60" s="17"/>
      <c r="X60" s="17"/>
      <c r="Y60" s="17"/>
      <c r="Z60" s="17"/>
    </row>
    <row r="61" ht="12.0"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ht="12.0"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ht="12.0"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ht="12.0"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ht="12.0"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ht="12.0"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ht="12.0"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ht="12.0"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ht="12.0"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ht="12.0"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ht="12.0"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ht="12.0"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ht="12.0"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ht="12.0"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ht="12.0"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ht="12.0"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ht="12.0"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ht="12.0"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ht="12.0"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ht="12.0"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ht="12.0"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ht="12.0"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ht="12.0"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ht="12.0"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ht="12.0"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ht="12.0"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ht="12.0"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ht="12.0"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ht="12.0"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ht="12.0"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ht="12.0"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ht="12.0"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ht="12.0"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ht="12.0"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ht="12.0"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ht="12.0"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ht="12.0"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ht="12.0"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ht="12.0"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ht="12.0"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ht="12.0"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ht="12.0"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ht="12.0"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ht="12.0"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ht="12.0"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12.0"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ht="12.0"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ht="12.0"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ht="12.0"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ht="12.0"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ht="12.0"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12.0"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ht="12.0"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ht="12.0"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ht="12.0"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ht="12.0"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ht="12.0"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12.0"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ht="12.0"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ht="12.0"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ht="12.0"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ht="12.0"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ht="12.0"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12.0"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ht="12.0"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ht="12.0"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ht="12.0"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ht="12.0"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ht="12.0"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12.0"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ht="12.0"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ht="12.0"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ht="12.0"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ht="12.0"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ht="12.0"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12.0"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ht="12.0"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ht="12.0"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ht="12.0"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ht="12.0"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ht="12.0"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12.0"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ht="12.0"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ht="12.0"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ht="12.0"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ht="12.0"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ht="12.0"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12.0"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ht="12.0"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ht="12.0"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ht="12.0"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ht="12.0"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ht="12.0"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12.0"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ht="12.0"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ht="12.0"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ht="12.0"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ht="12.0"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ht="12.0"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12.0"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ht="12.0"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ht="12.0"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ht="12.0"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ht="12.0"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ht="12.0"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12.0"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ht="12.0"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ht="12.0"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ht="12.0"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ht="12.0"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ht="12.0"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12.0"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ht="12.0"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ht="12.0"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ht="12.0"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ht="12.0"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ht="12.0"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12.0"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ht="12.0"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ht="12.0"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ht="12.0"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ht="12.0"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ht="12.0"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12.0"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ht="12.0"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ht="12.0"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ht="12.0"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ht="12.0"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ht="12.0"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12.0"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ht="12.0"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ht="12.0"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ht="12.0"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ht="12.0"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ht="12.0"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12.0"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ht="12.0"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ht="12.0"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ht="12.0"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ht="12.0"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ht="12.0"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12.0"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ht="12.0"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ht="12.0"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ht="12.0"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ht="12.0"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ht="12.0"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12.0"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ht="12.0"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ht="12.0"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ht="12.0"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ht="12.0"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ht="12.0"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12.0"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ht="12.0"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ht="12.0"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ht="12.0"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ht="12.0"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ht="12.0"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12.0"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ht="12.0"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ht="12.0"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ht="12.0"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ht="12.0"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ht="12.0"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12.0"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ht="12.0"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ht="12.0"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ht="12.0"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ht="12.0"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ht="12.0"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12.0"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ht="12.0"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ht="12.0"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ht="12.0"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ht="12.0"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ht="12.0"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12.0"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ht="12.0"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ht="12.0"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ht="12.0"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ht="12.0"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ht="12.0"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12.0"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ht="12.0"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ht="12.0"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ht="12.0"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ht="12.0"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ht="12.0"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12.0"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ht="12.0"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ht="12.0"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ht="12.0"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ht="12.0"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ht="12.0"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12.0"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ht="12.0"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ht="12.0"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ht="12.0"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ht="12.0"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ht="12.0"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12.0"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ht="12.0"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ht="12.0"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ht="12.0"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ht="12.0"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ht="12.0"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12.0"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ht="12.0"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ht="12.0"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ht="12.0"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ht="12.0"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ht="12.0"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12.0"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ht="12.0"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ht="12.0"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ht="12.0"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ht="12.0"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ht="12.0"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12.0"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ht="12.0"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ht="12.0"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ht="12.0"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ht="12.0"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ht="12.0"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12.0"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ht="12.0"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ht="12.0"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ht="12.0"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ht="12.0"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ht="12.0"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12.0"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ht="12.0"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ht="12.0"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ht="12.0"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ht="12.0"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ht="12.0"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12.0"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ht="12.0"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ht="12.0"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ht="12.0"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ht="12.0"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ht="12.0"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12.0"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ht="12.0"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ht="12.0"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ht="12.0"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ht="12.0"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ht="12.0"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12.0"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ht="12.0"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ht="12.0"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ht="12.0"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ht="12.0"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ht="12.0"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12.0"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ht="12.0"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ht="12.0"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ht="12.0"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ht="12.0"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ht="12.0"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12.0"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ht="12.0"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ht="12.0"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ht="12.0"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ht="12.0"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ht="12.0"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12.0"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ht="12.0"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ht="12.0"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ht="12.0"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ht="12.0"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ht="12.0"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12.0"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ht="12.0"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ht="12.0"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ht="12.0"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ht="12.0"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ht="12.0"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12.0"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ht="12.0"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ht="12.0"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ht="12.0"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ht="12.0"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ht="12.0"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12.0"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ht="12.0"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ht="12.0"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ht="12.0"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ht="12.0"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ht="12.0"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12.0"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ht="12.0"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ht="12.0"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ht="12.0"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ht="12.0"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ht="12.0"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12.0"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ht="12.0"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ht="12.0"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ht="12.0"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ht="12.0"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ht="12.0"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12.0"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ht="12.0"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ht="12.0"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ht="12.0"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ht="12.0"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ht="12.0"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12.0"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ht="12.0"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ht="12.0"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ht="12.0"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ht="12.0"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ht="12.0"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12.0"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ht="12.0"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ht="12.0"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ht="12.0"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ht="12.0"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ht="12.0"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12.0"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ht="12.0"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ht="12.0"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ht="12.0"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ht="12.0"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ht="12.0"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12.0"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ht="12.0"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ht="12.0"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ht="12.0"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ht="12.0"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ht="12.0"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12.0"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ht="12.0"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ht="12.0"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ht="12.0"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ht="12.0"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ht="12.0"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12.0"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ht="12.0"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ht="12.0"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ht="12.0"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ht="12.0"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ht="12.0"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12.0"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ht="12.0"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ht="12.0"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ht="12.0"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ht="12.0"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ht="12.0"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12.0"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ht="12.0"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ht="12.0"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ht="12.0"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ht="12.0"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ht="12.0"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12.0"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ht="12.0"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ht="12.0"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ht="12.0"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ht="12.0"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ht="12.0"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12.0"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ht="12.0"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ht="12.0"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ht="12.0"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ht="12.0"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ht="12.0"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12.0"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ht="12.0"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ht="12.0"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ht="12.0"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ht="12.0"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ht="12.0"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12.0"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ht="12.0"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ht="12.0"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ht="12.0"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ht="12.0"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ht="12.0"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12.0"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ht="12.0"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ht="12.0"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ht="12.0"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ht="12.0"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ht="12.0"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12.0"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ht="12.0"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ht="12.0"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ht="12.0"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ht="12.0"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ht="12.0"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12.0"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ht="12.0"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ht="12.0"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ht="12.0"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ht="12.0"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ht="12.0"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12.0"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ht="12.0"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ht="12.0"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ht="12.0"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ht="12.0"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ht="12.0"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12.0"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ht="12.0"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ht="12.0"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ht="12.0"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ht="12.0"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ht="12.0"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12.0"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ht="12.0"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ht="12.0"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ht="12.0"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ht="12.0"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ht="12.0"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12.0"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ht="12.0"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ht="12.0"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ht="12.0"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ht="12.0"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ht="12.0"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ht="12.0"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ht="12.0"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ht="12.0"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ht="12.0"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ht="12.0"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ht="12.0"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ht="12.0"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ht="12.0"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ht="12.0"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ht="12.0"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ht="12.0"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ht="12.0"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ht="12.0"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ht="12.0"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ht="12.0"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ht="12.0"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ht="12.0"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ht="12.0"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ht="12.0"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ht="12.0"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ht="12.0"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ht="12.0"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ht="12.0"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ht="12.0"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ht="12.0"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ht="12.0"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ht="12.0"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ht="12.0"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ht="12.0"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ht="12.0"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ht="12.0"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ht="12.0"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ht="12.0"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ht="12.0"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ht="12.0"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ht="12.0"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ht="12.0"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ht="12.0"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ht="12.0"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ht="12.0"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ht="12.0"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ht="12.0"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ht="12.0"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ht="12.0"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ht="12.0"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ht="12.0"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ht="12.0"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ht="12.0"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ht="12.0"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ht="12.0"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ht="12.0"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ht="12.0"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ht="12.0"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ht="12.0"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ht="12.0"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ht="12.0"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ht="12.0"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ht="12.0"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ht="12.0"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ht="12.0"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ht="12.0"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ht="12.0"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ht="12.0"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ht="12.0"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ht="12.0"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ht="12.0"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ht="12.0"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ht="12.0"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ht="12.0"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ht="12.0"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ht="12.0"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ht="12.0"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ht="12.0"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ht="12.0"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ht="12.0"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ht="12.0"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ht="12.0"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ht="12.0"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ht="12.0"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ht="12.0"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ht="12.0"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ht="12.0"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ht="12.0"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ht="12.0"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ht="12.0"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ht="12.0"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ht="12.0"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ht="12.0"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ht="12.0"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ht="12.0"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ht="12.0"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ht="12.0"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ht="12.0"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ht="12.0"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ht="12.0"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ht="12.0"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ht="12.0"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ht="12.0"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ht="12.0"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ht="12.0"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ht="12.0"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ht="12.0"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ht="12.0"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ht="12.0"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ht="12.0"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ht="12.0"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ht="12.0"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ht="12.0"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ht="12.0"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ht="12.0"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ht="12.0"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ht="12.0"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ht="12.0"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ht="12.0"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ht="12.0"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ht="12.0"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ht="12.0"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ht="12.0"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ht="12.0"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ht="12.0"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ht="12.0"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ht="12.0"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ht="12.0"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ht="12.0"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ht="12.0"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ht="12.0"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ht="12.0"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ht="12.0"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ht="12.0"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ht="12.0"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ht="12.0"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ht="12.0"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ht="12.0"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ht="12.0"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ht="12.0"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ht="12.0"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ht="12.0"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ht="12.0"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ht="12.0"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ht="12.0"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ht="12.0"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ht="12.0"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ht="12.0"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ht="12.0"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ht="12.0"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ht="12.0"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ht="12.0"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ht="12.0"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ht="12.0"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ht="12.0"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ht="12.0"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ht="12.0"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ht="12.0"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ht="12.0"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ht="12.0"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ht="12.0"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ht="12.0"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ht="12.0"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ht="12.0"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ht="12.0"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ht="12.0"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ht="12.0"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ht="12.0"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ht="12.0"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ht="12.0"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ht="12.0"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ht="12.0"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ht="12.0"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ht="12.0"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ht="12.0"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ht="12.0"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ht="12.0"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ht="12.0"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ht="12.0"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ht="12.0"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ht="12.0"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ht="12.0"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ht="12.0"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ht="12.0"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ht="12.0"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ht="12.0"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ht="12.0"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ht="12.0"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ht="12.0"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ht="12.0"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ht="12.0"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ht="12.0"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ht="12.0"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ht="12.0"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ht="12.0"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ht="12.0"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ht="12.0"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ht="12.0"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ht="12.0"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ht="12.0"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ht="12.0"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ht="12.0"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ht="12.0"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ht="12.0"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ht="12.0"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ht="12.0"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ht="12.0"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ht="12.0"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ht="12.0"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ht="12.0"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ht="12.0"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ht="12.0"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ht="12.0"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ht="12.0"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ht="12.0"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ht="12.0"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ht="12.0"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ht="12.0"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ht="12.0"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ht="12.0"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ht="12.0"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ht="12.0"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ht="12.0"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ht="12.0"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ht="12.0"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ht="12.0"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ht="12.0"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ht="12.0"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ht="12.0"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ht="12.0"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ht="12.0"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ht="12.0"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ht="12.0"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ht="12.0"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ht="12.0"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ht="12.0"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ht="12.0"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ht="12.0"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ht="12.0"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ht="12.0"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ht="12.0"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ht="12.0"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ht="12.0"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ht="12.0"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ht="12.0"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ht="12.0"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ht="12.0"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ht="12.0"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ht="12.0"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ht="12.0"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ht="12.0"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ht="12.0"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ht="12.0"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ht="12.0"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ht="12.0"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ht="12.0"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ht="12.0"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ht="12.0"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ht="12.0"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ht="12.0"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ht="12.0"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ht="12.0"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ht="12.0"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ht="12.0"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ht="12.0"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ht="12.0"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ht="12.0"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ht="12.0"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ht="12.0"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ht="12.0"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ht="12.0"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ht="12.0"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ht="12.0"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ht="12.0"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ht="12.0"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ht="12.0"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ht="12.0"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ht="12.0"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ht="12.0"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ht="12.0"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ht="12.0"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ht="12.0"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ht="12.0"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ht="12.0"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ht="12.0"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ht="12.0"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ht="12.0"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ht="12.0"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ht="12.0"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ht="12.0"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ht="12.0"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ht="12.0"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ht="12.0"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ht="12.0"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ht="12.0"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ht="12.0"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ht="12.0"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ht="12.0"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ht="12.0"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ht="12.0"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ht="12.0"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ht="12.0"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ht="12.0"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ht="12.0"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ht="12.0"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ht="12.0"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ht="12.0"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ht="12.0"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ht="12.0"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ht="12.0"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ht="12.0"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ht="12.0"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ht="12.0"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ht="12.0"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ht="12.0"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ht="12.0"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ht="12.0"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ht="12.0"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ht="12.0"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ht="12.0"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ht="12.0"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ht="12.0"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ht="12.0"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ht="12.0"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ht="12.0"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ht="12.0"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ht="12.0"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ht="12.0"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ht="12.0"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ht="12.0"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ht="12.0"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ht="12.0"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ht="12.0"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ht="12.0"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ht="12.0"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ht="12.0"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ht="12.0"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ht="12.0"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ht="12.0"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ht="12.0"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ht="12.0"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ht="12.0"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ht="12.0"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ht="12.0"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ht="12.0"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ht="12.0"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ht="12.0"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ht="12.0"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ht="12.0"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ht="12.0"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ht="12.0"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ht="12.0"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ht="12.0"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ht="12.0"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ht="12.0"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ht="12.0"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ht="12.0"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ht="12.0"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ht="12.0"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ht="12.0"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ht="12.0"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ht="12.0"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ht="12.0"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ht="12.0"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ht="12.0"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ht="12.0"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ht="12.0"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ht="12.0"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ht="12.0"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ht="12.0"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ht="12.0"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ht="12.0"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ht="12.0"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ht="12.0"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ht="12.0"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ht="12.0"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ht="12.0"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ht="12.0"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ht="12.0"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ht="12.0"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ht="12.0"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ht="12.0"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ht="12.0"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ht="12.0"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ht="12.0"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ht="12.0"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ht="12.0"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ht="12.0"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ht="12.0"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ht="12.0"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ht="12.0"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ht="12.0"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ht="12.0"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ht="12.0"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ht="12.0"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ht="12.0"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ht="12.0"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ht="12.0"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ht="12.0"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ht="12.0"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ht="12.0"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ht="12.0"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ht="12.0"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ht="12.0"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ht="12.0"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ht="12.0"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ht="12.0"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ht="12.0"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ht="12.0"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ht="12.0"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ht="12.0"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ht="12.0"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ht="12.0"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ht="12.0"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ht="12.0"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ht="12.0"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ht="12.0"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ht="12.0"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ht="12.0"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ht="12.0"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ht="12.0"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ht="12.0"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ht="12.0"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ht="12.0"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ht="12.0"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ht="12.0"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ht="12.0"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ht="12.0"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ht="12.0"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ht="12.0"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ht="12.0"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ht="12.0"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ht="12.0"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ht="12.0"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ht="12.0"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ht="12.0"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ht="12.0"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ht="12.0"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ht="12.0"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ht="12.0"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ht="12.0"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ht="12.0"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ht="12.0"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ht="12.0"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ht="12.0"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ht="12.0"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ht="12.0"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ht="12.0"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ht="12.0"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ht="12.0"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ht="12.0"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ht="12.0"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ht="12.0"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ht="12.0"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ht="12.0"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ht="12.0"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ht="12.0"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ht="12.0"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ht="12.0"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ht="12.0"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ht="12.0"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ht="12.0"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ht="12.0"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ht="12.0"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ht="12.0"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ht="12.0"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ht="12.0"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ht="12.0"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ht="12.0"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ht="12.0"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ht="12.0"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ht="12.0"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ht="12.0"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ht="12.0"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ht="12.0"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ht="12.0"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ht="12.0"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ht="12.0"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ht="12.0"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ht="12.0"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ht="12.0"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ht="12.0"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ht="12.0"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ht="12.0"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ht="12.0"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ht="12.0"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ht="12.0"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ht="12.0"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ht="12.0"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ht="12.0"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ht="12.0"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ht="12.0"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ht="12.0"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ht="12.0"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ht="12.0"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ht="12.0"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ht="12.0"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ht="12.0"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ht="12.0"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ht="12.0"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ht="12.0"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ht="12.0"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ht="12.0"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ht="12.0"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ht="12.0"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ht="12.0"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ht="12.0"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ht="12.0"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ht="12.0"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ht="12.0"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ht="12.0"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ht="12.0"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ht="12.0"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ht="12.0"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ht="12.0"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ht="12.0"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ht="12.0"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ht="12.0"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ht="12.0"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ht="12.0"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ht="12.0"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ht="12.0"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printOptions/>
  <pageMargins bottom="0.75" footer="0.0" header="0.0" left="0.7" right="0.7" top="0.75"/>
  <pageSetup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75"/>
    <col customWidth="1" min="2" max="4" width="8.0"/>
    <col customWidth="1" min="5" max="5" width="5.88"/>
    <col customWidth="1" min="6" max="7" width="8.5"/>
    <col customWidth="1" min="8" max="8" width="6.88"/>
    <col customWidth="1" min="9" max="9" width="8.5"/>
    <col customWidth="1" min="10" max="10" width="8.13"/>
    <col customWidth="1" min="11" max="11" width="8.75"/>
    <col customWidth="1" min="12" max="12" width="7.88"/>
    <col customWidth="1" min="13" max="13" width="8.13"/>
    <col customWidth="1" min="14" max="14" width="7.88"/>
    <col customWidth="1" min="15" max="26" width="8.0"/>
  </cols>
  <sheetData>
    <row r="1" ht="12.75" customHeight="1">
      <c r="A1" s="15" t="s">
        <v>106</v>
      </c>
      <c r="B1" s="15"/>
      <c r="C1" s="15"/>
      <c r="F1" s="15" t="s">
        <v>107</v>
      </c>
      <c r="J1" s="15" t="s">
        <v>108</v>
      </c>
    </row>
    <row r="2" ht="12.75" customHeight="1">
      <c r="A2" s="15"/>
      <c r="B2" s="15"/>
      <c r="C2" s="15"/>
      <c r="F2" s="15"/>
      <c r="J2" s="15"/>
    </row>
    <row r="3" ht="12.0" customHeight="1">
      <c r="A3" s="6">
        <v>10.0</v>
      </c>
      <c r="B3" s="16" t="s">
        <v>109</v>
      </c>
    </row>
    <row r="4" ht="12.0" customHeight="1">
      <c r="A4" s="6">
        <v>0.5</v>
      </c>
      <c r="B4" s="16" t="s">
        <v>110</v>
      </c>
    </row>
    <row r="5" ht="12.0" customHeight="1">
      <c r="A5" s="6">
        <v>20.0</v>
      </c>
      <c r="B5" s="16" t="s">
        <v>111</v>
      </c>
    </row>
    <row r="6" ht="12.0" customHeight="1">
      <c r="A6" s="6">
        <v>4.0</v>
      </c>
      <c r="B6" s="16" t="s">
        <v>112</v>
      </c>
    </row>
    <row r="7" ht="15.0" customHeight="1">
      <c r="F7" s="58" t="s">
        <v>113</v>
      </c>
    </row>
    <row r="8" ht="12.0" customHeight="1">
      <c r="A8" s="20" t="s">
        <v>114</v>
      </c>
      <c r="B8" s="20" t="s">
        <v>115</v>
      </c>
      <c r="C8" s="20" t="s">
        <v>116</v>
      </c>
      <c r="D8" s="20" t="s">
        <v>117</v>
      </c>
      <c r="E8" s="20" t="s">
        <v>118</v>
      </c>
      <c r="F8" s="20" t="s">
        <v>119</v>
      </c>
      <c r="G8" s="20" t="s">
        <v>120</v>
      </c>
      <c r="H8" s="20" t="s">
        <v>121</v>
      </c>
      <c r="I8" s="20" t="s">
        <v>122</v>
      </c>
      <c r="J8" s="20" t="s">
        <v>123</v>
      </c>
      <c r="K8" s="20" t="s">
        <v>124</v>
      </c>
      <c r="L8" s="20" t="s">
        <v>125</v>
      </c>
      <c r="M8" s="20" t="s">
        <v>126</v>
      </c>
      <c r="N8" s="20" t="s">
        <v>127</v>
      </c>
      <c r="O8" s="20" t="s">
        <v>128</v>
      </c>
      <c r="P8" s="20" t="s">
        <v>75</v>
      </c>
    </row>
    <row r="9" ht="12.0" customHeight="1">
      <c r="A9" s="16">
        <v>1.0</v>
      </c>
      <c r="B9" s="21">
        <v>1.1</v>
      </c>
      <c r="C9" s="19">
        <v>900.6828</v>
      </c>
      <c r="D9" s="22">
        <f t="shared" ref="D9:D28" si="1">C9-(A9-1)*A$4</f>
        <v>900.6828</v>
      </c>
      <c r="E9" s="16">
        <f t="shared" ref="E9:E28" si="2">1000*(D9-D$30)</f>
        <v>2.63</v>
      </c>
      <c r="F9" s="30">
        <f t="shared" ref="F9:F28" si="3">(D$30+((A9-1)*A$4))*(2*PI()/A$3)</f>
        <v>565.9140411</v>
      </c>
      <c r="G9" s="30">
        <f t="shared" ref="G9:G28" si="4">E9*COS(F9)</f>
        <v>2.393462282</v>
      </c>
      <c r="H9" s="30">
        <f t="shared" ref="H9:H28" si="5">E9*SIN(F9)</f>
        <v>1.09006344</v>
      </c>
      <c r="I9" s="30">
        <f t="shared" ref="I9:I28" si="6">E9*COS(2*F9)</f>
        <v>1.726396728</v>
      </c>
      <c r="J9" s="30">
        <f t="shared" ref="J9:J28" si="7">E9*SIN(2*F9)</f>
        <v>1.984049984</v>
      </c>
      <c r="K9" s="30">
        <f t="shared" ref="K9:K28" si="8">E9*COS(3*F9)</f>
        <v>0.7487928145</v>
      </c>
      <c r="L9" s="30">
        <f t="shared" ref="L9:L28" si="9">E9*SIN(3*F9)</f>
        <v>2.521152379</v>
      </c>
      <c r="M9" s="30">
        <f t="shared" ref="M9:M28" si="10">E9*COS(4*F9)</f>
        <v>-0.3635013979</v>
      </c>
      <c r="N9" s="30">
        <f t="shared" ref="N9:N28" si="11">E9*SIN(4*F9)</f>
        <v>2.604758479</v>
      </c>
      <c r="O9" s="30">
        <f t="shared" ref="O9:O28" si="12">G$31*COS(1*F9)+H$31*SIN(F9)+I$31*COS(2*F9)+J$31*SIN(2*F9)+K$31*COS(3*F9)+L$31*SIN(3*F9)+M$31*COS(4*F9)+N$31*SIN(4*F9)</f>
        <v>0.3209958816</v>
      </c>
      <c r="P9" s="57">
        <f t="shared" ref="P9:P28" si="13">O9-E9</f>
        <v>-2.309004118</v>
      </c>
    </row>
    <row r="10" ht="12.0" customHeight="1">
      <c r="A10" s="16">
        <v>2.0</v>
      </c>
      <c r="B10" s="21">
        <f t="shared" ref="B10:B28" si="14">B9+0.5</f>
        <v>1.6</v>
      </c>
      <c r="C10" s="19">
        <v>901.1771</v>
      </c>
      <c r="D10" s="22">
        <f t="shared" si="1"/>
        <v>900.6771</v>
      </c>
      <c r="E10" s="16">
        <f t="shared" si="2"/>
        <v>-3.07</v>
      </c>
      <c r="F10" s="30">
        <f t="shared" si="3"/>
        <v>566.2282003</v>
      </c>
      <c r="G10" s="30">
        <f t="shared" si="4"/>
        <v>-2.263943803</v>
      </c>
      <c r="H10" s="30">
        <f t="shared" si="5"/>
        <v>-2.073513554</v>
      </c>
      <c r="I10" s="30">
        <f t="shared" si="6"/>
        <v>-0.2690498641</v>
      </c>
      <c r="J10" s="30">
        <f t="shared" si="7"/>
        <v>-3.058187727</v>
      </c>
      <c r="K10" s="30">
        <f t="shared" si="8"/>
        <v>1.867127013</v>
      </c>
      <c r="L10" s="30">
        <f t="shared" si="9"/>
        <v>-2.436952342</v>
      </c>
      <c r="M10" s="30">
        <f t="shared" si="10"/>
        <v>3.022841805</v>
      </c>
      <c r="N10" s="30">
        <f t="shared" si="11"/>
        <v>-0.5360293109</v>
      </c>
      <c r="O10" s="30">
        <f t="shared" si="12"/>
        <v>-2.912090379</v>
      </c>
      <c r="P10" s="57">
        <f t="shared" si="13"/>
        <v>0.1579096216</v>
      </c>
    </row>
    <row r="11" ht="12.0" customHeight="1">
      <c r="A11" s="16">
        <v>3.0</v>
      </c>
      <c r="B11" s="21">
        <f t="shared" si="14"/>
        <v>2.1</v>
      </c>
      <c r="C11" s="19">
        <v>901.6751</v>
      </c>
      <c r="D11" s="22">
        <f t="shared" si="1"/>
        <v>900.6751</v>
      </c>
      <c r="E11" s="16">
        <f t="shared" si="2"/>
        <v>-5.07</v>
      </c>
      <c r="F11" s="30">
        <f t="shared" si="3"/>
        <v>566.5423596</v>
      </c>
      <c r="G11" s="30">
        <f t="shared" si="4"/>
        <v>-2.497656361</v>
      </c>
      <c r="H11" s="30">
        <f t="shared" si="5"/>
        <v>-4.412098447</v>
      </c>
      <c r="I11" s="30">
        <f t="shared" si="6"/>
        <v>2.60913716</v>
      </c>
      <c r="J11" s="30">
        <f t="shared" si="7"/>
        <v>-4.347102861</v>
      </c>
      <c r="K11" s="30">
        <f t="shared" si="8"/>
        <v>5.068357752</v>
      </c>
      <c r="L11" s="30">
        <f t="shared" si="9"/>
        <v>0.1290337075</v>
      </c>
      <c r="M11" s="30">
        <f t="shared" si="10"/>
        <v>2.384557507</v>
      </c>
      <c r="N11" s="30">
        <f t="shared" si="11"/>
        <v>4.474235744</v>
      </c>
      <c r="O11" s="30">
        <f t="shared" si="12"/>
        <v>-3.915269414</v>
      </c>
      <c r="P11" s="57">
        <f t="shared" si="13"/>
        <v>1.154730586</v>
      </c>
    </row>
    <row r="12" ht="12.0" customHeight="1">
      <c r="A12" s="16">
        <v>4.0</v>
      </c>
      <c r="B12" s="21">
        <f t="shared" si="14"/>
        <v>2.6</v>
      </c>
      <c r="C12" s="19">
        <v>902.1788</v>
      </c>
      <c r="D12" s="22">
        <f t="shared" si="1"/>
        <v>900.6788</v>
      </c>
      <c r="E12" s="16">
        <f t="shared" si="2"/>
        <v>-1.37</v>
      </c>
      <c r="F12" s="30">
        <f t="shared" si="3"/>
        <v>566.8565189</v>
      </c>
      <c r="G12" s="30">
        <f t="shared" si="4"/>
        <v>-0.2734592843</v>
      </c>
      <c r="H12" s="30">
        <f t="shared" si="5"/>
        <v>-1.342430639</v>
      </c>
      <c r="I12" s="30">
        <f t="shared" si="6"/>
        <v>1.260832146</v>
      </c>
      <c r="J12" s="30">
        <f t="shared" si="7"/>
        <v>-0.5359125864</v>
      </c>
      <c r="K12" s="30">
        <f t="shared" si="8"/>
        <v>0.7767968846</v>
      </c>
      <c r="L12" s="30">
        <f t="shared" si="9"/>
        <v>1.128488636</v>
      </c>
      <c r="M12" s="30">
        <f t="shared" si="10"/>
        <v>-0.9507265691</v>
      </c>
      <c r="N12" s="30">
        <f t="shared" si="11"/>
        <v>0.9864172501</v>
      </c>
      <c r="O12" s="30">
        <f t="shared" si="12"/>
        <v>-1.969241766</v>
      </c>
      <c r="P12" s="57">
        <f t="shared" si="13"/>
        <v>-0.5992417655</v>
      </c>
    </row>
    <row r="13" ht="12.0" customHeight="1">
      <c r="A13" s="16">
        <v>5.0</v>
      </c>
      <c r="B13" s="21">
        <f t="shared" si="14"/>
        <v>3.1</v>
      </c>
      <c r="C13" s="19">
        <v>902.6801</v>
      </c>
      <c r="D13" s="22">
        <f t="shared" si="1"/>
        <v>900.6801</v>
      </c>
      <c r="E13" s="16">
        <f t="shared" si="2"/>
        <v>-0.07000000016</v>
      </c>
      <c r="F13" s="30">
        <f t="shared" si="3"/>
        <v>567.1706781</v>
      </c>
      <c r="G13" s="30">
        <f t="shared" si="4"/>
        <v>0.007907376137</v>
      </c>
      <c r="H13" s="30">
        <f t="shared" si="5"/>
        <v>-0.06955194768</v>
      </c>
      <c r="I13" s="30">
        <f t="shared" si="6"/>
        <v>0.06821352596</v>
      </c>
      <c r="J13" s="30">
        <f t="shared" si="7"/>
        <v>0.015713526</v>
      </c>
      <c r="K13" s="30">
        <f t="shared" si="8"/>
        <v>-0.02331851917</v>
      </c>
      <c r="L13" s="30">
        <f t="shared" si="9"/>
        <v>0.06600186881</v>
      </c>
      <c r="M13" s="30">
        <f t="shared" si="10"/>
        <v>-0.06294528877</v>
      </c>
      <c r="N13" s="30">
        <f t="shared" si="11"/>
        <v>-0.03062500032</v>
      </c>
      <c r="O13" s="30">
        <f t="shared" si="12"/>
        <v>0.04068492658</v>
      </c>
      <c r="P13" s="57">
        <f t="shared" si="13"/>
        <v>0.1106849267</v>
      </c>
    </row>
    <row r="14" ht="12.0" customHeight="1">
      <c r="A14" s="16">
        <v>6.0</v>
      </c>
      <c r="B14" s="21">
        <f t="shared" si="14"/>
        <v>3.6</v>
      </c>
      <c r="C14" s="19">
        <v>903.1806</v>
      </c>
      <c r="D14" s="22">
        <f t="shared" si="1"/>
        <v>900.6806</v>
      </c>
      <c r="E14" s="16">
        <f t="shared" si="2"/>
        <v>0.4299999998</v>
      </c>
      <c r="F14" s="30">
        <f t="shared" si="3"/>
        <v>567.4848374</v>
      </c>
      <c r="G14" s="30">
        <f t="shared" si="4"/>
        <v>-0.1782233</v>
      </c>
      <c r="H14" s="30">
        <f t="shared" si="5"/>
        <v>0.3913265327</v>
      </c>
      <c r="I14" s="30">
        <f t="shared" si="6"/>
        <v>-0.2822625828</v>
      </c>
      <c r="J14" s="30">
        <f t="shared" si="7"/>
        <v>-0.3243884003</v>
      </c>
      <c r="K14" s="30">
        <f t="shared" si="8"/>
        <v>0.4122036208</v>
      </c>
      <c r="L14" s="30">
        <f t="shared" si="9"/>
        <v>-0.1224262016</v>
      </c>
      <c r="M14" s="30">
        <f t="shared" si="10"/>
        <v>-0.05943178746</v>
      </c>
      <c r="N14" s="30">
        <f t="shared" si="11"/>
        <v>0.4258730591</v>
      </c>
      <c r="O14" s="30">
        <f t="shared" si="12"/>
        <v>-0.4792208371</v>
      </c>
      <c r="P14" s="57">
        <f t="shared" si="13"/>
        <v>-0.9092208369</v>
      </c>
    </row>
    <row r="15" ht="12.0" customHeight="1">
      <c r="A15" s="16">
        <v>7.0</v>
      </c>
      <c r="B15" s="21">
        <f t="shared" si="14"/>
        <v>4.1</v>
      </c>
      <c r="C15" s="19">
        <v>903.6763</v>
      </c>
      <c r="D15" s="22">
        <f t="shared" si="1"/>
        <v>900.6763</v>
      </c>
      <c r="E15" s="16">
        <f t="shared" si="2"/>
        <v>-3.87</v>
      </c>
      <c r="F15" s="30">
        <f t="shared" si="3"/>
        <v>567.7989967</v>
      </c>
      <c r="G15" s="30">
        <f t="shared" si="4"/>
        <v>2.613842819</v>
      </c>
      <c r="H15" s="30">
        <f t="shared" si="5"/>
        <v>-2.853896585</v>
      </c>
      <c r="I15" s="30">
        <f t="shared" si="6"/>
        <v>0.3391605779</v>
      </c>
      <c r="J15" s="30">
        <f t="shared" si="7"/>
        <v>3.85510961</v>
      </c>
      <c r="K15" s="30">
        <f t="shared" si="8"/>
        <v>-3.071988783</v>
      </c>
      <c r="L15" s="30">
        <f t="shared" si="9"/>
        <v>-2.353674769</v>
      </c>
      <c r="M15" s="30">
        <f t="shared" si="10"/>
        <v>3.810553025</v>
      </c>
      <c r="N15" s="30">
        <f t="shared" si="11"/>
        <v>-0.6757112161</v>
      </c>
      <c r="O15" s="30">
        <f t="shared" si="12"/>
        <v>-2.557624961</v>
      </c>
      <c r="P15" s="57">
        <f t="shared" si="13"/>
        <v>1.312375039</v>
      </c>
    </row>
    <row r="16" ht="12.0" customHeight="1">
      <c r="A16" s="16">
        <v>8.0</v>
      </c>
      <c r="B16" s="21">
        <f t="shared" si="14"/>
        <v>4.6</v>
      </c>
      <c r="C16" s="19">
        <v>904.1769</v>
      </c>
      <c r="D16" s="22">
        <f t="shared" si="1"/>
        <v>900.6769</v>
      </c>
      <c r="E16" s="16">
        <f t="shared" si="2"/>
        <v>-3.27</v>
      </c>
      <c r="F16" s="30">
        <f t="shared" si="3"/>
        <v>568.1131559</v>
      </c>
      <c r="G16" s="30">
        <f t="shared" si="4"/>
        <v>2.845672963</v>
      </c>
      <c r="H16" s="30">
        <f t="shared" si="5"/>
        <v>-1.610914458</v>
      </c>
      <c r="I16" s="30">
        <f t="shared" si="6"/>
        <v>-1.682816275</v>
      </c>
      <c r="J16" s="30">
        <f t="shared" si="7"/>
        <v>2.803752733</v>
      </c>
      <c r="K16" s="30">
        <f t="shared" si="8"/>
        <v>0.08322292376</v>
      </c>
      <c r="L16" s="30">
        <f t="shared" si="9"/>
        <v>-3.268940799</v>
      </c>
      <c r="M16" s="30">
        <f t="shared" si="10"/>
        <v>1.537969043</v>
      </c>
      <c r="N16" s="30">
        <f t="shared" si="11"/>
        <v>2.885749681</v>
      </c>
      <c r="O16" s="30">
        <f t="shared" si="12"/>
        <v>-3.266046227</v>
      </c>
      <c r="P16" s="57">
        <f t="shared" si="13"/>
        <v>0.003953773101</v>
      </c>
    </row>
    <row r="17" ht="12.0" customHeight="1">
      <c r="A17" s="16">
        <v>9.0</v>
      </c>
      <c r="B17" s="21">
        <f t="shared" si="14"/>
        <v>5.1</v>
      </c>
      <c r="C17" s="19">
        <v>904.6797</v>
      </c>
      <c r="D17" s="22">
        <f t="shared" si="1"/>
        <v>900.6797</v>
      </c>
      <c r="E17" s="16">
        <f t="shared" si="2"/>
        <v>-0.4700000002</v>
      </c>
      <c r="F17" s="30">
        <f t="shared" si="3"/>
        <v>568.4273152</v>
      </c>
      <c r="G17" s="30">
        <f t="shared" si="4"/>
        <v>0.4605418981</v>
      </c>
      <c r="H17" s="30">
        <f t="shared" si="5"/>
        <v>-0.09381449902</v>
      </c>
      <c r="I17" s="30">
        <f t="shared" si="6"/>
        <v>-0.4325482545</v>
      </c>
      <c r="J17" s="30">
        <f t="shared" si="7"/>
        <v>0.1838532231</v>
      </c>
      <c r="K17" s="30">
        <f t="shared" si="8"/>
        <v>0.3871457364</v>
      </c>
      <c r="L17" s="30">
        <f t="shared" si="9"/>
        <v>-0.2664923619</v>
      </c>
      <c r="M17" s="30">
        <f t="shared" si="10"/>
        <v>-0.3261616698</v>
      </c>
      <c r="N17" s="30">
        <f t="shared" si="11"/>
        <v>0.338405918</v>
      </c>
      <c r="O17" s="30">
        <f t="shared" si="12"/>
        <v>-1.73375479</v>
      </c>
      <c r="P17" s="57">
        <f t="shared" si="13"/>
        <v>-1.26375479</v>
      </c>
    </row>
    <row r="18" ht="12.0" customHeight="1">
      <c r="A18" s="16">
        <v>10.0</v>
      </c>
      <c r="B18" s="21">
        <f t="shared" si="14"/>
        <v>5.6</v>
      </c>
      <c r="C18" s="19">
        <v>905.1797</v>
      </c>
      <c r="D18" s="22">
        <f t="shared" si="1"/>
        <v>900.6797</v>
      </c>
      <c r="E18" s="16">
        <f t="shared" si="2"/>
        <v>-0.4700000002</v>
      </c>
      <c r="F18" s="30">
        <f t="shared" si="3"/>
        <v>568.7414744</v>
      </c>
      <c r="G18" s="30">
        <f t="shared" si="4"/>
        <v>0.4669916478</v>
      </c>
      <c r="H18" s="30">
        <f t="shared" si="5"/>
        <v>0.05309238253</v>
      </c>
      <c r="I18" s="30">
        <f t="shared" si="6"/>
        <v>-0.458005102</v>
      </c>
      <c r="J18" s="30">
        <f t="shared" si="7"/>
        <v>-0.1055051029</v>
      </c>
      <c r="K18" s="30">
        <f t="shared" si="8"/>
        <v>0.443155404</v>
      </c>
      <c r="L18" s="30">
        <f t="shared" si="9"/>
        <v>0.1565671998</v>
      </c>
      <c r="M18" s="30">
        <f t="shared" si="10"/>
        <v>-0.4226326523</v>
      </c>
      <c r="N18" s="30">
        <f t="shared" si="11"/>
        <v>-0.2056250018</v>
      </c>
      <c r="O18" s="30">
        <f t="shared" si="12"/>
        <v>-0.003582108603</v>
      </c>
      <c r="P18" s="57">
        <f t="shared" si="13"/>
        <v>0.4664178916</v>
      </c>
    </row>
    <row r="19" ht="12.0" customHeight="1">
      <c r="A19" s="16">
        <v>11.0</v>
      </c>
      <c r="B19" s="21">
        <f t="shared" si="14"/>
        <v>6.1</v>
      </c>
      <c r="C19" s="19">
        <v>905.6792</v>
      </c>
      <c r="D19" s="22">
        <f t="shared" si="1"/>
        <v>900.6792</v>
      </c>
      <c r="E19" s="16">
        <f t="shared" si="2"/>
        <v>-0.9700000002</v>
      </c>
      <c r="F19" s="30">
        <f t="shared" si="3"/>
        <v>569.0556337</v>
      </c>
      <c r="G19" s="30">
        <f t="shared" si="4"/>
        <v>0.8827598533</v>
      </c>
      <c r="H19" s="30">
        <f t="shared" si="5"/>
        <v>0.4020386072</v>
      </c>
      <c r="I19" s="30">
        <f t="shared" si="6"/>
        <v>-0.6367318731</v>
      </c>
      <c r="J19" s="30">
        <f t="shared" si="7"/>
        <v>-0.7317598801</v>
      </c>
      <c r="K19" s="30">
        <f t="shared" si="8"/>
        <v>0.2761707339</v>
      </c>
      <c r="L19" s="30">
        <f t="shared" si="9"/>
        <v>0.9298546801</v>
      </c>
      <c r="M19" s="30">
        <f t="shared" si="10"/>
        <v>0.1340670555</v>
      </c>
      <c r="N19" s="30">
        <f t="shared" si="11"/>
        <v>-0.9606903897</v>
      </c>
      <c r="O19" s="30">
        <f t="shared" si="12"/>
        <v>0.1983152813</v>
      </c>
      <c r="P19" s="57">
        <f t="shared" si="13"/>
        <v>1.168315281</v>
      </c>
    </row>
    <row r="20" ht="12.0" customHeight="1">
      <c r="A20" s="16">
        <v>12.0</v>
      </c>
      <c r="B20" s="21">
        <f t="shared" si="14"/>
        <v>6.6</v>
      </c>
      <c r="C20" s="19">
        <v>906.1813</v>
      </c>
      <c r="D20" s="22">
        <f t="shared" si="1"/>
        <v>900.6813</v>
      </c>
      <c r="E20" s="16">
        <f t="shared" si="2"/>
        <v>1.13</v>
      </c>
      <c r="F20" s="30">
        <f t="shared" si="3"/>
        <v>569.369793</v>
      </c>
      <c r="G20" s="30">
        <f t="shared" si="4"/>
        <v>-0.833308305</v>
      </c>
      <c r="H20" s="30">
        <f t="shared" si="5"/>
        <v>-0.7632150865</v>
      </c>
      <c r="I20" s="30">
        <f t="shared" si="6"/>
        <v>0.09903138318</v>
      </c>
      <c r="J20" s="30">
        <f t="shared" si="7"/>
        <v>1.12565216</v>
      </c>
      <c r="K20" s="30">
        <f t="shared" si="8"/>
        <v>0.6872487049</v>
      </c>
      <c r="L20" s="30">
        <f t="shared" si="9"/>
        <v>-0.8969889727</v>
      </c>
      <c r="M20" s="30">
        <f t="shared" si="10"/>
        <v>-1.112642097</v>
      </c>
      <c r="N20" s="30">
        <f t="shared" si="11"/>
        <v>0.1973006909</v>
      </c>
      <c r="O20" s="30">
        <f t="shared" si="12"/>
        <v>-0.02801012141</v>
      </c>
      <c r="P20" s="57">
        <f t="shared" si="13"/>
        <v>-1.158010121</v>
      </c>
    </row>
    <row r="21" ht="12.0" customHeight="1">
      <c r="A21" s="16">
        <v>13.0</v>
      </c>
      <c r="B21" s="21">
        <f t="shared" si="14"/>
        <v>7.1</v>
      </c>
      <c r="C21" s="19">
        <v>906.682</v>
      </c>
      <c r="D21" s="22">
        <f t="shared" si="1"/>
        <v>900.682</v>
      </c>
      <c r="E21" s="16">
        <f t="shared" si="2"/>
        <v>1.83</v>
      </c>
      <c r="F21" s="30">
        <f t="shared" si="3"/>
        <v>569.6839522</v>
      </c>
      <c r="G21" s="30">
        <f t="shared" si="4"/>
        <v>-0.9015209351</v>
      </c>
      <c r="H21" s="30">
        <f t="shared" si="5"/>
        <v>-1.592532575</v>
      </c>
      <c r="I21" s="30">
        <f t="shared" si="6"/>
        <v>-0.9417595665</v>
      </c>
      <c r="J21" s="30">
        <f t="shared" si="7"/>
        <v>1.56907263</v>
      </c>
      <c r="K21" s="30">
        <f t="shared" si="8"/>
        <v>1.829407236</v>
      </c>
      <c r="L21" s="30">
        <f t="shared" si="9"/>
        <v>0.04657429678</v>
      </c>
      <c r="M21" s="30">
        <f t="shared" si="10"/>
        <v>-0.8606982717</v>
      </c>
      <c r="N21" s="30">
        <f t="shared" si="11"/>
        <v>-1.614960831</v>
      </c>
      <c r="O21" s="30">
        <f t="shared" si="12"/>
        <v>1.403202903</v>
      </c>
      <c r="P21" s="57">
        <f t="shared" si="13"/>
        <v>-0.426797097</v>
      </c>
    </row>
    <row r="22" ht="12.0" customHeight="1">
      <c r="A22" s="16">
        <v>14.0</v>
      </c>
      <c r="B22" s="21">
        <f t="shared" si="14"/>
        <v>7.6</v>
      </c>
      <c r="C22" s="19">
        <v>907.1828</v>
      </c>
      <c r="D22" s="22">
        <f t="shared" si="1"/>
        <v>900.6828</v>
      </c>
      <c r="E22" s="16">
        <f t="shared" si="2"/>
        <v>2.63</v>
      </c>
      <c r="F22" s="30">
        <f t="shared" si="3"/>
        <v>569.9981115</v>
      </c>
      <c r="G22" s="30">
        <f t="shared" si="4"/>
        <v>-0.5249619837</v>
      </c>
      <c r="H22" s="30">
        <f t="shared" si="5"/>
        <v>-2.577074876</v>
      </c>
      <c r="I22" s="30">
        <f t="shared" si="6"/>
        <v>-2.420429594</v>
      </c>
      <c r="J22" s="30">
        <f t="shared" si="7"/>
        <v>1.028795695</v>
      </c>
      <c r="K22" s="30">
        <f t="shared" si="8"/>
        <v>1.491223216</v>
      </c>
      <c r="L22" s="30">
        <f t="shared" si="9"/>
        <v>2.166368694</v>
      </c>
      <c r="M22" s="30">
        <f t="shared" si="10"/>
        <v>1.825117428</v>
      </c>
      <c r="N22" s="30">
        <f t="shared" si="11"/>
        <v>-1.893633115</v>
      </c>
      <c r="O22" s="30">
        <f t="shared" si="12"/>
        <v>4.072685951</v>
      </c>
      <c r="P22" s="57">
        <f t="shared" si="13"/>
        <v>1.442685951</v>
      </c>
    </row>
    <row r="23" ht="12.0" customHeight="1">
      <c r="A23" s="16">
        <v>15.0</v>
      </c>
      <c r="B23" s="21">
        <f t="shared" si="14"/>
        <v>8.1</v>
      </c>
      <c r="C23" s="19">
        <v>907.6861</v>
      </c>
      <c r="D23" s="22">
        <f t="shared" si="1"/>
        <v>900.6861</v>
      </c>
      <c r="E23" s="16">
        <f t="shared" si="2"/>
        <v>5.93</v>
      </c>
      <c r="F23" s="30">
        <f t="shared" si="3"/>
        <v>570.3122708</v>
      </c>
      <c r="G23" s="30">
        <f t="shared" si="4"/>
        <v>0.6698677197</v>
      </c>
      <c r="H23" s="30">
        <f t="shared" si="5"/>
        <v>-5.892043553</v>
      </c>
      <c r="I23" s="30">
        <f t="shared" si="6"/>
        <v>-5.778660114</v>
      </c>
      <c r="J23" s="30">
        <f t="shared" si="7"/>
        <v>-1.331160128</v>
      </c>
      <c r="K23" s="30">
        <f t="shared" si="8"/>
        <v>-1.975411691</v>
      </c>
      <c r="L23" s="30">
        <f t="shared" si="9"/>
        <v>5.591301159</v>
      </c>
      <c r="M23" s="30">
        <f t="shared" si="10"/>
        <v>5.332365165</v>
      </c>
      <c r="N23" s="30">
        <f t="shared" si="11"/>
        <v>2.594375021</v>
      </c>
      <c r="O23" s="30">
        <f t="shared" si="12"/>
        <v>5.105383051</v>
      </c>
      <c r="P23" s="57">
        <f t="shared" si="13"/>
        <v>-0.8246169489</v>
      </c>
    </row>
    <row r="24" ht="12.0" customHeight="1">
      <c r="A24" s="16">
        <v>16.0</v>
      </c>
      <c r="B24" s="21">
        <f t="shared" si="14"/>
        <v>8.6</v>
      </c>
      <c r="C24" s="19">
        <v>908.1838</v>
      </c>
      <c r="D24" s="22">
        <f t="shared" si="1"/>
        <v>900.6838</v>
      </c>
      <c r="E24" s="16">
        <f t="shared" si="2"/>
        <v>3.63</v>
      </c>
      <c r="F24" s="30">
        <f t="shared" si="3"/>
        <v>570.62643</v>
      </c>
      <c r="G24" s="30">
        <f t="shared" si="4"/>
        <v>1.504536231</v>
      </c>
      <c r="H24" s="30">
        <f t="shared" si="5"/>
        <v>-3.303523987</v>
      </c>
      <c r="I24" s="30">
        <f t="shared" si="6"/>
        <v>-2.382821339</v>
      </c>
      <c r="J24" s="30">
        <f t="shared" si="7"/>
        <v>-2.738441612</v>
      </c>
      <c r="K24" s="30">
        <f t="shared" si="8"/>
        <v>-3.479765451</v>
      </c>
      <c r="L24" s="30">
        <f t="shared" si="9"/>
        <v>1.033504911</v>
      </c>
      <c r="M24" s="30">
        <f t="shared" si="10"/>
        <v>-0.5017148572</v>
      </c>
      <c r="N24" s="30">
        <f t="shared" si="11"/>
        <v>3.595160942</v>
      </c>
      <c r="O24" s="30">
        <f t="shared" si="12"/>
        <v>2.998795112</v>
      </c>
      <c r="P24" s="57">
        <f t="shared" si="13"/>
        <v>-0.6312048875</v>
      </c>
    </row>
    <row r="25" ht="12.0" customHeight="1">
      <c r="A25" s="16">
        <v>17.0</v>
      </c>
      <c r="B25" s="21">
        <f t="shared" si="14"/>
        <v>9.1</v>
      </c>
      <c r="C25" s="19">
        <v>908.6785</v>
      </c>
      <c r="D25" s="22">
        <f t="shared" si="1"/>
        <v>900.6785</v>
      </c>
      <c r="E25" s="16">
        <f t="shared" si="2"/>
        <v>-1.67</v>
      </c>
      <c r="F25" s="30">
        <f t="shared" si="3"/>
        <v>570.9405893</v>
      </c>
      <c r="G25" s="30">
        <f t="shared" si="4"/>
        <v>-1.127937341</v>
      </c>
      <c r="H25" s="30">
        <f t="shared" si="5"/>
        <v>1.231526434</v>
      </c>
      <c r="I25" s="30">
        <f t="shared" si="6"/>
        <v>0.146356115</v>
      </c>
      <c r="J25" s="30">
        <f t="shared" si="7"/>
        <v>1.663574431</v>
      </c>
      <c r="K25" s="30">
        <f t="shared" si="8"/>
        <v>1.325638571</v>
      </c>
      <c r="L25" s="30">
        <f t="shared" si="9"/>
        <v>1.01566844</v>
      </c>
      <c r="M25" s="30">
        <f t="shared" si="10"/>
        <v>1.644347171</v>
      </c>
      <c r="N25" s="30">
        <f t="shared" si="11"/>
        <v>-0.291585977</v>
      </c>
      <c r="O25" s="30">
        <f t="shared" si="12"/>
        <v>-0.03112892127</v>
      </c>
      <c r="P25" s="57">
        <f t="shared" si="13"/>
        <v>1.638871079</v>
      </c>
    </row>
    <row r="26" ht="12.0" customHeight="1">
      <c r="A26" s="16">
        <v>18.0</v>
      </c>
      <c r="B26" s="21">
        <f t="shared" si="14"/>
        <v>9.6</v>
      </c>
      <c r="C26" s="19">
        <v>909.1807</v>
      </c>
      <c r="D26" s="22">
        <f t="shared" si="1"/>
        <v>900.6807</v>
      </c>
      <c r="E26" s="16">
        <f t="shared" si="2"/>
        <v>0.5299999998</v>
      </c>
      <c r="F26" s="30">
        <f t="shared" si="3"/>
        <v>571.2547486</v>
      </c>
      <c r="G26" s="30">
        <f t="shared" si="4"/>
        <v>0.4612252812</v>
      </c>
      <c r="H26" s="30">
        <f t="shared" si="5"/>
        <v>-0.261096227</v>
      </c>
      <c r="I26" s="30">
        <f t="shared" si="6"/>
        <v>0.2727500383</v>
      </c>
      <c r="J26" s="30">
        <f t="shared" si="7"/>
        <v>-0.4544308709</v>
      </c>
      <c r="K26" s="30">
        <f t="shared" si="8"/>
        <v>0.01348873076</v>
      </c>
      <c r="L26" s="30">
        <f t="shared" si="9"/>
        <v>-0.529828325</v>
      </c>
      <c r="M26" s="30">
        <f t="shared" si="10"/>
        <v>-0.2492732699</v>
      </c>
      <c r="N26" s="30">
        <f t="shared" si="11"/>
        <v>-0.4677208962</v>
      </c>
      <c r="O26" s="30">
        <f t="shared" si="12"/>
        <v>-0.6777926269</v>
      </c>
      <c r="P26" s="57">
        <f t="shared" si="13"/>
        <v>-1.207792627</v>
      </c>
    </row>
    <row r="27" ht="12.0" customHeight="1">
      <c r="A27" s="16">
        <v>19.0</v>
      </c>
      <c r="B27" s="21">
        <f t="shared" si="14"/>
        <v>10.1</v>
      </c>
      <c r="C27" s="19">
        <v>909.6821</v>
      </c>
      <c r="D27" s="22">
        <f t="shared" si="1"/>
        <v>900.6821</v>
      </c>
      <c r="E27" s="16">
        <f t="shared" si="2"/>
        <v>1.93</v>
      </c>
      <c r="F27" s="30">
        <f t="shared" si="3"/>
        <v>571.5689078</v>
      </c>
      <c r="G27" s="30">
        <f t="shared" si="4"/>
        <v>1.891161411</v>
      </c>
      <c r="H27" s="30">
        <f t="shared" si="5"/>
        <v>-0.3852382617</v>
      </c>
      <c r="I27" s="30">
        <f t="shared" si="6"/>
        <v>1.776208789</v>
      </c>
      <c r="J27" s="30">
        <f t="shared" si="7"/>
        <v>-0.7549717457</v>
      </c>
      <c r="K27" s="30">
        <f t="shared" si="8"/>
        <v>1.589768661</v>
      </c>
      <c r="L27" s="30">
        <f t="shared" si="9"/>
        <v>-1.094319699</v>
      </c>
      <c r="M27" s="30">
        <f t="shared" si="10"/>
        <v>1.339344728</v>
      </c>
      <c r="N27" s="30">
        <f t="shared" si="11"/>
        <v>-1.389624301</v>
      </c>
      <c r="O27" s="30">
        <f t="shared" si="12"/>
        <v>1.169196043</v>
      </c>
      <c r="P27" s="57">
        <f t="shared" si="13"/>
        <v>-0.7608039572</v>
      </c>
    </row>
    <row r="28" ht="12.0" customHeight="1">
      <c r="A28" s="16">
        <v>20.0</v>
      </c>
      <c r="B28" s="21">
        <f t="shared" si="14"/>
        <v>10.6</v>
      </c>
      <c r="C28" s="19">
        <v>910.1798</v>
      </c>
      <c r="D28" s="22">
        <f t="shared" si="1"/>
        <v>900.6798</v>
      </c>
      <c r="E28" s="16">
        <f t="shared" si="2"/>
        <v>-0.3700000002</v>
      </c>
      <c r="F28" s="30">
        <f t="shared" si="3"/>
        <v>571.8830671</v>
      </c>
      <c r="G28" s="30">
        <f t="shared" si="4"/>
        <v>-0.3676317228</v>
      </c>
      <c r="H28" s="30">
        <f t="shared" si="5"/>
        <v>-0.04179613093</v>
      </c>
      <c r="I28" s="30">
        <f t="shared" si="6"/>
        <v>-0.360557208</v>
      </c>
      <c r="J28" s="30">
        <f t="shared" si="7"/>
        <v>-0.08305720872</v>
      </c>
      <c r="K28" s="30">
        <f t="shared" si="8"/>
        <v>-0.3488670202</v>
      </c>
      <c r="L28" s="30">
        <f t="shared" si="9"/>
        <v>-0.1232550297</v>
      </c>
      <c r="M28" s="30">
        <f t="shared" si="10"/>
        <v>-0.3327108115</v>
      </c>
      <c r="N28" s="30">
        <f t="shared" si="11"/>
        <v>-0.1618750014</v>
      </c>
      <c r="O28" s="30">
        <f t="shared" si="12"/>
        <v>2.264503002</v>
      </c>
      <c r="P28" s="57">
        <f t="shared" si="13"/>
        <v>2.634503002</v>
      </c>
    </row>
    <row r="29" ht="12.0" customHeight="1"/>
    <row r="30" ht="12.0" customHeight="1">
      <c r="C30" s="16" t="s">
        <v>129</v>
      </c>
      <c r="D30" s="22">
        <f>SUM(D9:D28)/A5</f>
        <v>900.68017</v>
      </c>
      <c r="G30" s="20" t="s">
        <v>130</v>
      </c>
      <c r="H30" s="20" t="s">
        <v>131</v>
      </c>
      <c r="I30" s="20" t="s">
        <v>132</v>
      </c>
      <c r="J30" s="20" t="s">
        <v>133</v>
      </c>
      <c r="K30" s="20" t="s">
        <v>134</v>
      </c>
      <c r="L30" s="20" t="s">
        <v>135</v>
      </c>
      <c r="M30" s="20" t="s">
        <v>136</v>
      </c>
      <c r="N30" s="20" t="s">
        <v>137</v>
      </c>
      <c r="P30" s="16" t="s">
        <v>138</v>
      </c>
    </row>
    <row r="31" ht="12.0" customHeight="1">
      <c r="G31" s="59">
        <f t="shared" ref="G31:N31" si="15">SUM(G9:G28)*2/$A$5</f>
        <v>0.5229326446</v>
      </c>
      <c r="H31" s="59">
        <f t="shared" si="15"/>
        <v>-2.410469343</v>
      </c>
      <c r="I31" s="59">
        <f t="shared" si="15"/>
        <v>-0.7347555309</v>
      </c>
      <c r="J31" s="59">
        <f t="shared" si="15"/>
        <v>-0.02353441317</v>
      </c>
      <c r="K31" s="59">
        <f t="shared" si="15"/>
        <v>0.8100396538</v>
      </c>
      <c r="L31" s="59">
        <f t="shared" si="15"/>
        <v>0.3691637473</v>
      </c>
      <c r="M31" s="59">
        <f t="shared" si="15"/>
        <v>1.578872425</v>
      </c>
      <c r="N31" s="59">
        <f t="shared" si="15"/>
        <v>0.9874195747</v>
      </c>
      <c r="P31" s="30">
        <f>SUMSQ(P9:P28)</f>
        <v>29.13677771</v>
      </c>
    </row>
    <row r="32" ht="12.0" customHeight="1"/>
    <row r="33" ht="12.0" customHeight="1"/>
    <row r="34" ht="12.0" customHeight="1">
      <c r="D34" s="30">
        <f>SQRT(P31/(A5-2*A6-1))</f>
        <v>1.627512818</v>
      </c>
      <c r="E34" s="16" t="s">
        <v>61</v>
      </c>
    </row>
    <row r="35" ht="12.0" customHeight="1"/>
    <row r="36" ht="12.0" customHeight="1"/>
    <row r="37" ht="12.0" customHeight="1">
      <c r="D37" s="30">
        <f>D34*SQRT(2/A5)</f>
        <v>0.5146647427</v>
      </c>
      <c r="E37" s="16" t="s">
        <v>61</v>
      </c>
    </row>
    <row r="38" ht="12.0" customHeight="1"/>
    <row r="39" ht="12.0" customHeight="1"/>
    <row r="40" ht="12.0" customHeight="1">
      <c r="D40" s="57">
        <f>D37*SQRT(A6)</f>
        <v>1.029329485</v>
      </c>
      <c r="E40" s="16" t="s">
        <v>61</v>
      </c>
    </row>
    <row r="41" ht="12.0" customHeight="1"/>
    <row r="42" ht="12.0" customHeight="1"/>
    <row r="43" ht="12.0" customHeight="1">
      <c r="E43" s="27" t="s">
        <v>139</v>
      </c>
      <c r="F43" s="40">
        <v>123.456</v>
      </c>
    </row>
    <row r="44" ht="12.0" customHeight="1">
      <c r="E44" s="16" t="s">
        <v>140</v>
      </c>
      <c r="F44" s="16">
        <f>F43*2*PI()/A3</f>
        <v>77.56969253</v>
      </c>
      <c r="G44" s="16" t="s">
        <v>141</v>
      </c>
    </row>
    <row r="45" ht="12.0" customHeight="1">
      <c r="E45" s="16" t="s">
        <v>142</v>
      </c>
      <c r="F45" s="29">
        <f>G$31*COS(F44)+H$31*SIN(F44)+I$31*COS(2*F44)+J$31*SIN(2*F44)+K$31*COS(3*F44)+L$31*SIN(3*F44)+M$31*COS(4*F44)+N$31*SIN(4*F44)</f>
        <v>-1.625849698</v>
      </c>
      <c r="G45" s="16" t="s">
        <v>61</v>
      </c>
    </row>
    <row r="46" ht="12.0" customHeight="1">
      <c r="E46" s="27" t="s">
        <v>143</v>
      </c>
      <c r="F46" s="60">
        <f>F43-F45/1000</f>
        <v>123.4576258</v>
      </c>
    </row>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5" footer="0.0" header="0.0" left="0.7" right="0.7" top="0.75"/>
  <pageSetup orientation="landscape"/>
  <drawing r:id="rId1"/>
</worksheet>
</file>