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2dd1d5c90b00b6f/Documents/Surveying/GMAT3100/"/>
    </mc:Choice>
  </mc:AlternateContent>
  <xr:revisionPtr revIDLastSave="46" documentId="8_{6DBAEC9B-DFA9-499C-83AF-A1052071652B}" xr6:coauthVersionLast="47" xr6:coauthVersionMax="47" xr10:uidLastSave="{50A1D4E1-6720-426D-A1EC-74BE5E9DA184}"/>
  <bookViews>
    <workbookView xWindow="9510" yWindow="0" windowWidth="9780" windowHeight="11370" firstSheet="7" activeTab="8" xr2:uid="{32E87A1C-4DAD-4A66-861E-AFF7AF948952}"/>
  </bookViews>
  <sheets>
    <sheet name="LSP" sheetId="1" r:id="rId1"/>
    <sheet name="HiddenPt" sheetId="2" r:id="rId2"/>
    <sheet name="ShortestDist" sheetId="8" r:id="rId3"/>
    <sheet name="TrigHeights0" sheetId="3" r:id="rId4"/>
    <sheet name="TrigHeights1" sheetId="4" r:id="rId5"/>
    <sheet name="TrigHeights2" sheetId="5" r:id="rId6"/>
    <sheet name="Single line atmos &amp; E Curv" sheetId="6" r:id="rId7"/>
    <sheet name="GridCon" sheetId="7" r:id="rId8"/>
    <sheet name="Q23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9" l="1"/>
  <c r="B2" i="9"/>
  <c r="B9" i="9"/>
  <c r="B11" i="9"/>
  <c r="D8" i="9"/>
  <c r="C8" i="9"/>
  <c r="B8" i="9"/>
  <c r="E8" i="9"/>
  <c r="E7" i="9"/>
  <c r="E6" i="9"/>
  <c r="C6" i="2"/>
  <c r="C36" i="8"/>
  <c r="C47" i="8" s="1"/>
  <c r="D35" i="8"/>
  <c r="D51" i="8" s="1"/>
  <c r="C35" i="8"/>
  <c r="C51" i="8" s="1"/>
  <c r="B35" i="8"/>
  <c r="B51" i="8" s="1"/>
  <c r="B23" i="8"/>
  <c r="D18" i="8"/>
  <c r="C18" i="8"/>
  <c r="C39" i="8" s="1"/>
  <c r="B18" i="8"/>
  <c r="D14" i="8"/>
  <c r="C14" i="8"/>
  <c r="B14" i="8"/>
  <c r="B26" i="8" s="1"/>
  <c r="D13" i="8"/>
  <c r="D36" i="8" s="1"/>
  <c r="C13" i="8"/>
  <c r="B13" i="8"/>
  <c r="B25" i="8" s="1"/>
  <c r="E7" i="7"/>
  <c r="C5" i="7"/>
  <c r="B5" i="7"/>
  <c r="C43" i="1"/>
  <c r="B42" i="1"/>
  <c r="B41" i="1"/>
  <c r="B40" i="1"/>
  <c r="B39" i="1"/>
  <c r="J36" i="1"/>
  <c r="K29" i="1"/>
  <c r="O29" i="1"/>
  <c r="H29" i="1"/>
  <c r="S29" i="1"/>
  <c r="R29" i="1"/>
  <c r="S27" i="1"/>
  <c r="P27" i="1" s="1"/>
  <c r="Q27" i="1" s="1"/>
  <c r="R27" i="1" s="1"/>
  <c r="S25" i="1"/>
  <c r="P25" i="1" s="1"/>
  <c r="S26" i="1"/>
  <c r="H25" i="1"/>
  <c r="I25" i="1" s="1"/>
  <c r="H26" i="1"/>
  <c r="I26" i="1" s="1"/>
  <c r="J26" i="1" s="1"/>
  <c r="H27" i="1"/>
  <c r="O25" i="1"/>
  <c r="O26" i="1"/>
  <c r="O27" i="1"/>
  <c r="O24" i="1"/>
  <c r="S24" i="1" s="1"/>
  <c r="K27" i="1"/>
  <c r="K26" i="1"/>
  <c r="K25" i="1"/>
  <c r="K24" i="1"/>
  <c r="L36" i="1"/>
  <c r="L5" i="1"/>
  <c r="I16" i="1"/>
  <c r="G33" i="1"/>
  <c r="I33" i="1" s="1"/>
  <c r="H33" i="1"/>
  <c r="G34" i="1"/>
  <c r="H34" i="1"/>
  <c r="I34" i="1"/>
  <c r="G35" i="1"/>
  <c r="I35" i="1" s="1"/>
  <c r="H35" i="1"/>
  <c r="G25" i="1"/>
  <c r="J33" i="1" s="1"/>
  <c r="G26" i="1"/>
  <c r="J34" i="1" s="1"/>
  <c r="G27" i="1"/>
  <c r="G24" i="1"/>
  <c r="J32" i="1" s="1"/>
  <c r="J35" i="1"/>
  <c r="L33" i="1"/>
  <c r="L34" i="1"/>
  <c r="M34" i="1" s="1"/>
  <c r="L35" i="1"/>
  <c r="L32" i="1"/>
  <c r="M32" i="1" s="1"/>
  <c r="F25" i="1"/>
  <c r="F26" i="1"/>
  <c r="F27" i="1"/>
  <c r="F28" i="1"/>
  <c r="F24" i="1"/>
  <c r="E25" i="1"/>
  <c r="E26" i="1"/>
  <c r="E27" i="1"/>
  <c r="E24" i="1"/>
  <c r="F36" i="1"/>
  <c r="M35" i="1"/>
  <c r="F35" i="1"/>
  <c r="F34" i="1"/>
  <c r="M33" i="1"/>
  <c r="F33" i="1"/>
  <c r="F32" i="1"/>
  <c r="B11" i="6"/>
  <c r="B10" i="6"/>
  <c r="B9" i="6"/>
  <c r="B5" i="6"/>
  <c r="F2" i="6"/>
  <c r="E2" i="6"/>
  <c r="E2" i="5"/>
  <c r="E1" i="5"/>
  <c r="B10" i="4"/>
  <c r="B7" i="4"/>
  <c r="B6" i="4"/>
  <c r="E2" i="4"/>
  <c r="E1" i="4"/>
  <c r="B11" i="3"/>
  <c r="B8" i="3"/>
  <c r="J5" i="3"/>
  <c r="I5" i="3"/>
  <c r="H5" i="3"/>
  <c r="K5" i="3"/>
  <c r="K2" i="3"/>
  <c r="D16" i="2"/>
  <c r="B7" i="2"/>
  <c r="C7" i="2"/>
  <c r="D7" i="2"/>
  <c r="K2" i="2"/>
  <c r="K3" i="2"/>
  <c r="F3" i="2"/>
  <c r="F2" i="2"/>
  <c r="N17" i="1"/>
  <c r="O17" i="1"/>
  <c r="J16" i="1" s="1"/>
  <c r="N12" i="1"/>
  <c r="O12" i="1"/>
  <c r="M17" i="1"/>
  <c r="M15" i="1"/>
  <c r="N15" i="1"/>
  <c r="O15" i="1"/>
  <c r="J5" i="1"/>
  <c r="M12" i="1"/>
  <c r="J15" i="1"/>
  <c r="J14" i="1"/>
  <c r="F16" i="1"/>
  <c r="F15" i="1"/>
  <c r="M14" i="1"/>
  <c r="F14" i="1"/>
  <c r="N14" i="1" s="1"/>
  <c r="O14" i="1" s="1"/>
  <c r="M13" i="1"/>
  <c r="J13" i="1"/>
  <c r="F13" i="1"/>
  <c r="J12" i="1"/>
  <c r="F12" i="1"/>
  <c r="I5" i="1"/>
  <c r="N6" i="1"/>
  <c r="B39" i="8" l="1"/>
  <c r="B41" i="8" s="1"/>
  <c r="D47" i="8"/>
  <c r="D39" i="8"/>
  <c r="B22" i="8"/>
  <c r="B36" i="8"/>
  <c r="B47" i="8" s="1"/>
  <c r="B24" i="8"/>
  <c r="B7" i="7"/>
  <c r="C7" i="7"/>
  <c r="D7" i="7" s="1"/>
  <c r="I29" i="1"/>
  <c r="J29" i="1" s="1"/>
  <c r="P24" i="1"/>
  <c r="P26" i="1"/>
  <c r="Q26" i="1" s="1"/>
  <c r="Q25" i="1"/>
  <c r="R25" i="1" s="1"/>
  <c r="J27" i="1"/>
  <c r="J25" i="1"/>
  <c r="I27" i="1"/>
  <c r="H24" i="1"/>
  <c r="I24" i="1" s="1"/>
  <c r="N35" i="1"/>
  <c r="O35" i="1" s="1"/>
  <c r="N34" i="1"/>
  <c r="O34" i="1" s="1"/>
  <c r="N33" i="1"/>
  <c r="O33" i="1" s="1"/>
  <c r="B6" i="2"/>
  <c r="B16" i="2" s="1"/>
  <c r="C16" i="2"/>
  <c r="D6" i="2"/>
  <c r="N13" i="1"/>
  <c r="O13" i="1" s="1"/>
  <c r="Q24" i="1" l="1"/>
  <c r="R24" i="1" s="1"/>
  <c r="R26" i="1"/>
  <c r="J24" i="1"/>
  <c r="O6" i="1" l="1"/>
  <c r="O3" i="1"/>
  <c r="O4" i="1"/>
  <c r="O2" i="1"/>
  <c r="N3" i="1"/>
  <c r="N4" i="1"/>
  <c r="N2" i="1"/>
  <c r="M6" i="1"/>
  <c r="M3" i="1"/>
  <c r="M4" i="1"/>
  <c r="M2" i="1"/>
  <c r="J4" i="1"/>
  <c r="J3" i="1"/>
  <c r="J2" i="1"/>
  <c r="F3" i="1"/>
  <c r="F4" i="1"/>
  <c r="F5" i="1"/>
  <c r="F2" i="1"/>
  <c r="G32" i="1"/>
  <c r="N32" i="1"/>
  <c r="O32" i="1" s="1"/>
  <c r="H32" i="1" l="1"/>
  <c r="I32" i="1"/>
  <c r="M37" i="1"/>
  <c r="O37" i="1"/>
  <c r="N37" i="1" s="1"/>
  <c r="J37" i="1" l="1"/>
  <c r="I36" i="1" l="1"/>
</calcChain>
</file>

<file path=xl/sharedStrings.xml><?xml version="1.0" encoding="utf-8"?>
<sst xmlns="http://schemas.openxmlformats.org/spreadsheetml/2006/main" count="144" uniqueCount="100">
  <si>
    <t xml:space="preserve">From </t>
  </si>
  <si>
    <t>To</t>
  </si>
  <si>
    <t>Measured ZA</t>
  </si>
  <si>
    <t>Measured Slope Dist</t>
  </si>
  <si>
    <t>Slope Dist from Coords</t>
  </si>
  <si>
    <t>ZA from coords</t>
  </si>
  <si>
    <t>F</t>
  </si>
  <si>
    <t>C (''/m)</t>
  </si>
  <si>
    <t>C (''/km)</t>
  </si>
  <si>
    <t>Prism</t>
  </si>
  <si>
    <t>Height</t>
  </si>
  <si>
    <t>Direction</t>
  </si>
  <si>
    <t>SD</t>
  </si>
  <si>
    <t>ZA</t>
  </si>
  <si>
    <t>Point</t>
  </si>
  <si>
    <t>E</t>
  </si>
  <si>
    <t>N</t>
  </si>
  <si>
    <t>H</t>
  </si>
  <si>
    <t>d = (P1 - T) / h1 = (P2 - T) / h2</t>
  </si>
  <si>
    <t>h2 (P1-T) = h1(P2-T)</t>
  </si>
  <si>
    <t>h1P2 - H2P1 = -h2T + h1T</t>
  </si>
  <si>
    <t>T*(h1-h2) = h1P2 - h2P1</t>
  </si>
  <si>
    <t>T = (h1P2 - h2P1) / (h1-h2)</t>
  </si>
  <si>
    <t>(1.3*P2-1.5*P1)/(-0.2)</t>
  </si>
  <si>
    <t>CP123</t>
  </si>
  <si>
    <t>RL</t>
  </si>
  <si>
    <t>h_i</t>
  </si>
  <si>
    <t>h_t</t>
  </si>
  <si>
    <t>Vertical Circle</t>
  </si>
  <si>
    <t>dH = SD cost(ZA)</t>
  </si>
  <si>
    <t>RL_target</t>
  </si>
  <si>
    <t>ZA_AB</t>
  </si>
  <si>
    <t>ZA_BA</t>
  </si>
  <si>
    <t>S</t>
  </si>
  <si>
    <t>dH</t>
  </si>
  <si>
    <t>dH = S coz Z</t>
  </si>
  <si>
    <t>dh_AB</t>
  </si>
  <si>
    <t>dh_BA</t>
  </si>
  <si>
    <t>Mean reciprocal height difference</t>
  </si>
  <si>
    <t>Hence pt 2 is 1.362m higher than point 1</t>
  </si>
  <si>
    <t>dH = S coz Z + S^2(1-k/sinZ)*sin^2 Z / 2R</t>
  </si>
  <si>
    <t>Hence the most accurate difference in ehght from a instrument at A to wall mark at B may be computed from an observed ZA and an observed slope distance S as this considers curvature/refraction</t>
  </si>
  <si>
    <t>R</t>
  </si>
  <si>
    <t>For values of k</t>
  </si>
  <si>
    <t>k</t>
  </si>
  <si>
    <t>SD cos ZA</t>
  </si>
  <si>
    <t>HD to 5</t>
  </si>
  <si>
    <t>SD to 5</t>
  </si>
  <si>
    <t>Bearing</t>
  </si>
  <si>
    <t>Orientation</t>
  </si>
  <si>
    <t>HD_56</t>
  </si>
  <si>
    <t>dE</t>
  </si>
  <si>
    <t>dN</t>
  </si>
  <si>
    <t>H6 = H5 + dH</t>
  </si>
  <si>
    <t>T3</t>
  </si>
  <si>
    <t>T4</t>
  </si>
  <si>
    <t>d</t>
  </si>
  <si>
    <t>1. Define coords</t>
  </si>
  <si>
    <t>Coordinates</t>
  </si>
  <si>
    <t>A1</t>
  </si>
  <si>
    <t>A2</t>
  </si>
  <si>
    <t>B1</t>
  </si>
  <si>
    <t>B2</t>
  </si>
  <si>
    <t>2. Define parametric eqns</t>
  </si>
  <si>
    <t>r_A (s) = a1 + s*(a2 - a1)</t>
  </si>
  <si>
    <t>r_B (t) = b1 + t*(b2-b1)</t>
  </si>
  <si>
    <t>u = a2 - a1</t>
  </si>
  <si>
    <t>v = b2 - b1</t>
  </si>
  <si>
    <t>3. Set up distance minimisation</t>
  </si>
  <si>
    <t>w0 = b1-a1</t>
  </si>
  <si>
    <t>4. Dot products</t>
  </si>
  <si>
    <t>u*u</t>
  </si>
  <si>
    <t>v*v</t>
  </si>
  <si>
    <t>u*v</t>
  </si>
  <si>
    <t>u*w0</t>
  </si>
  <si>
    <t>v*w0</t>
  </si>
  <si>
    <t>5. Solving a system of equations</t>
  </si>
  <si>
    <t>t</t>
  </si>
  <si>
    <t>s</t>
  </si>
  <si>
    <t>6. Shortest distance</t>
  </si>
  <si>
    <t>tv</t>
  </si>
  <si>
    <t>su</t>
  </si>
  <si>
    <t>d = w0 + tv - su</t>
  </si>
  <si>
    <t>D = |d|</t>
  </si>
  <si>
    <t>7. Coordinates of endpoints</t>
  </si>
  <si>
    <t>Point on pipe A</t>
  </si>
  <si>
    <t>r_A (s) = a1 + su</t>
  </si>
  <si>
    <t>r_A</t>
  </si>
  <si>
    <t>Point on pipe B</t>
  </si>
  <si>
    <t>r_B (t) = b1 + tv</t>
  </si>
  <si>
    <t>r_B</t>
  </si>
  <si>
    <t>S_meas</t>
  </si>
  <si>
    <t>EDM_corr</t>
  </si>
  <si>
    <t>K</t>
  </si>
  <si>
    <t>CSF</t>
  </si>
  <si>
    <t>Azimuth</t>
  </si>
  <si>
    <t>GC</t>
  </si>
  <si>
    <t>S_corr</t>
  </si>
  <si>
    <t>HD</t>
  </si>
  <si>
    <t>D_grid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</si>
</sst>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C8BDB-F84D-4067-9D4A-C498C1CAA77E}">
  <dimension ref="A1:S43"/>
  <sheetViews>
    <sheetView topLeftCell="A19" zoomScale="70" zoomScaleNormal="70" workbookViewId="0">
      <selection activeCell="L24" sqref="L24"/>
    </sheetView>
  </sheetViews>
  <sheetFormatPr defaultRowHeight="14.5" x14ac:dyDescent="0.35"/>
  <cols>
    <col min="3" max="3" width="11.7265625" bestFit="1" customWidth="1"/>
    <col min="11" max="11" width="18.26953125" bestFit="1" customWidth="1"/>
    <col min="12" max="12" width="19.453125" bestFit="1" customWidth="1"/>
    <col min="13" max="13" width="11.81640625" bestFit="1" customWidth="1"/>
    <col min="14" max="14" width="11" customWidth="1"/>
    <col min="18" max="18" width="11.81640625" bestFit="1" customWidth="1"/>
  </cols>
  <sheetData>
    <row r="1" spans="1:15" x14ac:dyDescent="0.35">
      <c r="A1" t="s">
        <v>0</v>
      </c>
      <c r="B1" t="s">
        <v>1</v>
      </c>
      <c r="C1" s="4" t="s">
        <v>2</v>
      </c>
      <c r="D1" s="4"/>
      <c r="E1" s="4"/>
      <c r="F1" s="4"/>
      <c r="G1" s="4" t="s">
        <v>5</v>
      </c>
      <c r="H1" s="4"/>
      <c r="I1" s="4"/>
      <c r="J1" s="4"/>
      <c r="K1" t="s">
        <v>3</v>
      </c>
      <c r="L1" t="s">
        <v>4</v>
      </c>
      <c r="M1" s="3" t="s">
        <v>6</v>
      </c>
      <c r="N1" s="3" t="s">
        <v>7</v>
      </c>
      <c r="O1" s="3" t="s">
        <v>8</v>
      </c>
    </row>
    <row r="2" spans="1:15" x14ac:dyDescent="0.35">
      <c r="C2">
        <v>85</v>
      </c>
      <c r="D2">
        <v>24</v>
      </c>
      <c r="E2">
        <v>6</v>
      </c>
      <c r="F2">
        <f>C2+D2/60+E2/3600</f>
        <v>85.401666666666671</v>
      </c>
      <c r="G2">
        <v>85</v>
      </c>
      <c r="H2">
        <v>24</v>
      </c>
      <c r="I2">
        <v>15</v>
      </c>
      <c r="J2">
        <f>G2+H2/60+I2/3600</f>
        <v>85.404166666666669</v>
      </c>
      <c r="K2">
        <v>227.66300000000001</v>
      </c>
      <c r="L2">
        <v>227.66900000000001</v>
      </c>
      <c r="M2" s="3">
        <f>L2/K2</f>
        <v>1.0000263547436343</v>
      </c>
      <c r="N2" s="3">
        <f>((J2-F2)/L2)*3600</f>
        <v>3.9531073620000148E-2</v>
      </c>
      <c r="O2" s="3">
        <f>N2*1000</f>
        <v>39.53107362000015</v>
      </c>
    </row>
    <row r="3" spans="1:15" x14ac:dyDescent="0.35">
      <c r="C3">
        <v>83</v>
      </c>
      <c r="D3">
        <v>34</v>
      </c>
      <c r="E3">
        <v>22</v>
      </c>
      <c r="F3">
        <f t="shared" ref="F3:F5" si="0">C3+D3/60+E3/3600</f>
        <v>83.572777777777773</v>
      </c>
      <c r="G3">
        <v>83</v>
      </c>
      <c r="H3">
        <v>34</v>
      </c>
      <c r="I3">
        <v>29</v>
      </c>
      <c r="J3">
        <f t="shared" ref="J3:J4" si="1">G3+H3/60+I3/3600</f>
        <v>83.574722222222221</v>
      </c>
      <c r="K3">
        <v>162.90700000000001</v>
      </c>
      <c r="L3">
        <v>162.911</v>
      </c>
      <c r="M3" s="3">
        <f t="shared" ref="M3:M4" si="2">L3/K3</f>
        <v>1.0000245538865733</v>
      </c>
      <c r="N3" s="3">
        <f t="shared" ref="N3:N4" si="3">((J3-F3)/L3)*3600</f>
        <v>4.2968246465927326E-2</v>
      </c>
      <c r="O3" s="3">
        <f t="shared" ref="O3:O4" si="4">N3*1000</f>
        <v>42.968246465927329</v>
      </c>
    </row>
    <row r="4" spans="1:15" x14ac:dyDescent="0.35">
      <c r="C4">
        <v>91</v>
      </c>
      <c r="D4">
        <v>22</v>
      </c>
      <c r="E4">
        <v>0</v>
      </c>
      <c r="F4">
        <f t="shared" si="0"/>
        <v>91.36666666666666</v>
      </c>
      <c r="G4">
        <v>91</v>
      </c>
      <c r="H4">
        <v>22</v>
      </c>
      <c r="I4">
        <v>12</v>
      </c>
      <c r="J4">
        <f t="shared" si="1"/>
        <v>91.36999999999999</v>
      </c>
      <c r="K4">
        <v>311.85399999999998</v>
      </c>
      <c r="L4">
        <v>311.86200000000002</v>
      </c>
      <c r="M4" s="3">
        <f t="shared" si="2"/>
        <v>1.0000256530299436</v>
      </c>
      <c r="N4" s="3">
        <f t="shared" si="3"/>
        <v>3.8478557823617768E-2</v>
      </c>
      <c r="O4" s="3">
        <f t="shared" si="4"/>
        <v>38.47855782361777</v>
      </c>
    </row>
    <row r="5" spans="1:15" x14ac:dyDescent="0.35">
      <c r="C5">
        <v>81</v>
      </c>
      <c r="D5">
        <v>4</v>
      </c>
      <c r="E5">
        <v>13</v>
      </c>
      <c r="F5">
        <f t="shared" si="0"/>
        <v>81.070277777777775</v>
      </c>
      <c r="G5" s="3">
        <v>81</v>
      </c>
      <c r="H5" s="3">
        <v>4</v>
      </c>
      <c r="I5" s="3">
        <f>E5+J5</f>
        <v>18.762015020994426</v>
      </c>
      <c r="J5" s="3">
        <f>N6*K5</f>
        <v>5.7620150209944265</v>
      </c>
      <c r="K5">
        <v>142.886</v>
      </c>
      <c r="L5" s="3">
        <f>K5*M6</f>
        <v>142.88964652979078</v>
      </c>
      <c r="M5" s="3"/>
      <c r="N5" s="3"/>
      <c r="O5" s="3"/>
    </row>
    <row r="6" spans="1:15" x14ac:dyDescent="0.35">
      <c r="M6" s="3">
        <f>AVERAGE(M2:M4)</f>
        <v>1.0000255205533837</v>
      </c>
      <c r="N6" s="3">
        <f>O6/1000</f>
        <v>4.0325959303181745E-2</v>
      </c>
      <c r="O6" s="3">
        <f>AVERAGE(O2:O4)</f>
        <v>40.325959303181747</v>
      </c>
    </row>
    <row r="7" spans="1:15" x14ac:dyDescent="0.35">
      <c r="A7" s="2"/>
    </row>
    <row r="11" spans="1:15" x14ac:dyDescent="0.35">
      <c r="A11" t="s">
        <v>0</v>
      </c>
      <c r="B11" t="s">
        <v>1</v>
      </c>
      <c r="C11" s="4" t="s">
        <v>2</v>
      </c>
      <c r="D11" s="4"/>
      <c r="E11" s="4"/>
      <c r="F11" s="4"/>
      <c r="G11" s="4" t="s">
        <v>5</v>
      </c>
      <c r="H11" s="4"/>
      <c r="I11" s="4"/>
      <c r="J11" s="4"/>
      <c r="K11" t="s">
        <v>3</v>
      </c>
      <c r="L11" t="s">
        <v>4</v>
      </c>
      <c r="M11" s="3" t="s">
        <v>6</v>
      </c>
      <c r="N11" s="3" t="s">
        <v>7</v>
      </c>
      <c r="O11" s="3" t="s">
        <v>8</v>
      </c>
    </row>
    <row r="12" spans="1:15" x14ac:dyDescent="0.35">
      <c r="A12">
        <v>5</v>
      </c>
      <c r="B12">
        <v>1</v>
      </c>
      <c r="C12">
        <v>88</v>
      </c>
      <c r="D12">
        <v>14</v>
      </c>
      <c r="E12">
        <v>15</v>
      </c>
      <c r="F12">
        <f>C12+D12/60+E12/3600</f>
        <v>88.237499999999997</v>
      </c>
      <c r="G12">
        <v>88</v>
      </c>
      <c r="H12">
        <v>13</v>
      </c>
      <c r="I12">
        <v>20</v>
      </c>
      <c r="J12">
        <f>G12+H12/60+I12/3600</f>
        <v>88.222222222222229</v>
      </c>
      <c r="K12">
        <v>747.38400000000001</v>
      </c>
      <c r="L12">
        <v>747.375</v>
      </c>
      <c r="M12" s="3">
        <f>L12/K12</f>
        <v>0.99998795799749529</v>
      </c>
      <c r="N12" s="3">
        <f>((J12-F12)/L12)*3600</f>
        <v>-7.359090148849913E-2</v>
      </c>
      <c r="O12" s="3">
        <f>N12*1000</f>
        <v>-73.590901488499128</v>
      </c>
    </row>
    <row r="13" spans="1:15" x14ac:dyDescent="0.35">
      <c r="A13">
        <v>5</v>
      </c>
      <c r="B13">
        <v>2</v>
      </c>
      <c r="C13">
        <v>87</v>
      </c>
      <c r="D13">
        <v>29</v>
      </c>
      <c r="E13">
        <v>59</v>
      </c>
      <c r="F13">
        <f t="shared" ref="F13:F16" si="5">C13+D13/60+E13/3600</f>
        <v>87.499722222222218</v>
      </c>
      <c r="G13">
        <v>87</v>
      </c>
      <c r="H13">
        <v>29</v>
      </c>
      <c r="I13">
        <v>9</v>
      </c>
      <c r="J13">
        <f t="shared" ref="J13" si="6">G13+H13/60+I13/3600</f>
        <v>87.485833333333332</v>
      </c>
      <c r="K13">
        <v>709.29</v>
      </c>
      <c r="L13">
        <v>709.28099999999995</v>
      </c>
      <c r="M13" s="3">
        <f t="shared" ref="M13:M14" si="7">L13/K13</f>
        <v>0.99998731125491691</v>
      </c>
      <c r="N13" s="3">
        <f t="shared" ref="N13:N14" si="8">((J13-F13)/L13)*3600</f>
        <v>-7.0493922718906379E-2</v>
      </c>
      <c r="O13" s="3">
        <f t="shared" ref="O13:O15" si="9">N13*1000</f>
        <v>-70.493922718906376</v>
      </c>
    </row>
    <row r="14" spans="1:15" x14ac:dyDescent="0.35">
      <c r="A14">
        <v>5</v>
      </c>
      <c r="B14">
        <v>3</v>
      </c>
      <c r="C14">
        <v>95</v>
      </c>
      <c r="D14">
        <v>48</v>
      </c>
      <c r="E14">
        <v>41</v>
      </c>
      <c r="F14">
        <f t="shared" si="5"/>
        <v>95.811388888888885</v>
      </c>
      <c r="G14">
        <v>95</v>
      </c>
      <c r="H14">
        <v>48</v>
      </c>
      <c r="I14">
        <v>1</v>
      </c>
      <c r="J14">
        <f>G14+H14/60+I14/3600</f>
        <v>95.800277777777779</v>
      </c>
      <c r="K14">
        <v>605.14800000000002</v>
      </c>
      <c r="L14">
        <v>605.14</v>
      </c>
      <c r="M14" s="3">
        <f t="shared" si="7"/>
        <v>0.99998678009346464</v>
      </c>
      <c r="N14" s="3">
        <f t="shared" si="8"/>
        <v>-6.6100406517468152E-2</v>
      </c>
      <c r="O14" s="3">
        <f t="shared" si="9"/>
        <v>-66.100406517468159</v>
      </c>
    </row>
    <row r="15" spans="1:15" x14ac:dyDescent="0.35">
      <c r="A15">
        <v>5</v>
      </c>
      <c r="B15">
        <v>4</v>
      </c>
      <c r="C15">
        <v>96</v>
      </c>
      <c r="D15">
        <v>40</v>
      </c>
      <c r="E15">
        <v>28</v>
      </c>
      <c r="F15">
        <f t="shared" si="5"/>
        <v>96.674444444444447</v>
      </c>
      <c r="G15">
        <v>96</v>
      </c>
      <c r="H15">
        <v>39</v>
      </c>
      <c r="I15">
        <v>50</v>
      </c>
      <c r="J15">
        <f>G15+H15/60+I15/3600</f>
        <v>96.663888888888891</v>
      </c>
      <c r="K15">
        <v>541.61199999999997</v>
      </c>
      <c r="L15">
        <v>541.60599999999999</v>
      </c>
      <c r="M15" s="3">
        <f t="shared" ref="M15" si="10">L15/K15</f>
        <v>0.99998892195889311</v>
      </c>
      <c r="N15" s="3">
        <f t="shared" ref="N15" si="11">((J15-F15)/L15)*3600</f>
        <v>-7.0161704264722971E-2</v>
      </c>
      <c r="O15" s="3">
        <f t="shared" si="9"/>
        <v>-70.161704264722971</v>
      </c>
    </row>
    <row r="16" spans="1:15" x14ac:dyDescent="0.35">
      <c r="A16">
        <v>5</v>
      </c>
      <c r="B16">
        <v>6</v>
      </c>
      <c r="C16">
        <v>91</v>
      </c>
      <c r="D16">
        <v>15</v>
      </c>
      <c r="E16">
        <v>29</v>
      </c>
      <c r="F16">
        <f t="shared" si="5"/>
        <v>91.258055555555558</v>
      </c>
      <c r="G16">
        <v>91</v>
      </c>
      <c r="H16">
        <v>14</v>
      </c>
      <c r="I16">
        <f>89+J16</f>
        <v>47.339744593208465</v>
      </c>
      <c r="J16">
        <f>N17*K16</f>
        <v>-41.660255406791535</v>
      </c>
      <c r="K16">
        <v>594.41</v>
      </c>
    </row>
    <row r="17" spans="1:19" x14ac:dyDescent="0.35">
      <c r="M17" s="3">
        <f>AVERAGE(M12:M15)</f>
        <v>0.99998774282619252</v>
      </c>
      <c r="N17" s="3">
        <f>O17/1000</f>
        <v>-7.0086733747399169E-2</v>
      </c>
      <c r="O17" s="3">
        <f>AVERAGE(O12:O15)</f>
        <v>-70.086733747399165</v>
      </c>
    </row>
    <row r="23" spans="1:19" x14ac:dyDescent="0.35">
      <c r="A23" t="s">
        <v>14</v>
      </c>
      <c r="B23" t="s">
        <v>15</v>
      </c>
      <c r="C23" t="s">
        <v>16</v>
      </c>
      <c r="D23" t="s">
        <v>17</v>
      </c>
      <c r="E23" t="s">
        <v>46</v>
      </c>
      <c r="F23" t="s">
        <v>47</v>
      </c>
      <c r="G23" t="s">
        <v>13</v>
      </c>
      <c r="H23" s="4" t="s">
        <v>48</v>
      </c>
      <c r="I23" s="4"/>
      <c r="J23" s="4"/>
      <c r="K23" s="4"/>
      <c r="L23" s="4" t="s">
        <v>11</v>
      </c>
      <c r="M23" s="4"/>
      <c r="N23" s="4"/>
      <c r="O23" s="4"/>
      <c r="P23" s="4" t="s">
        <v>49</v>
      </c>
      <c r="Q23" s="4"/>
      <c r="R23" s="4"/>
      <c r="S23" s="4"/>
    </row>
    <row r="24" spans="1:19" x14ac:dyDescent="0.35">
      <c r="A24">
        <v>1</v>
      </c>
      <c r="B24">
        <v>3459.72</v>
      </c>
      <c r="C24">
        <v>2116.7800000000002</v>
      </c>
      <c r="D24">
        <v>626.12</v>
      </c>
      <c r="E24">
        <f>SQRT((B$28-B24)^2+(C$28-C24)^2)</f>
        <v>747.01414993291814</v>
      </c>
      <c r="F24">
        <f>SQRT(E24^2+(D$28-D24)^2)</f>
        <v>747.37463450400844</v>
      </c>
      <c r="G24">
        <f>DEGREES(ACOS( (D24-D$28) /F24))</f>
        <v>88.220371911496443</v>
      </c>
      <c r="H24">
        <f>INT(K24)</f>
        <v>324</v>
      </c>
      <c r="I24">
        <f>INT(60*(K24-H24))</f>
        <v>50</v>
      </c>
      <c r="J24">
        <f>(K24-H24)*3600-I24*60</f>
        <v>19.554973474237158</v>
      </c>
      <c r="K24">
        <f>DEGREES(ATAN2((C24-C$28),(B24-B$28)))+360</f>
        <v>324.83876527040951</v>
      </c>
      <c r="L24">
        <v>0</v>
      </c>
      <c r="M24">
        <v>0</v>
      </c>
      <c r="N24">
        <v>0</v>
      </c>
      <c r="O24">
        <f>L24+M24/60+N24/3600</f>
        <v>0</v>
      </c>
      <c r="P24">
        <f>INT(S24)</f>
        <v>324</v>
      </c>
      <c r="Q24">
        <f>INT(60*(S24-P24))</f>
        <v>50</v>
      </c>
      <c r="R24">
        <f>(S24-P24)*3600-Q24*60</f>
        <v>19.554973474237158</v>
      </c>
      <c r="S24">
        <f>K24-O24</f>
        <v>324.83876527040951</v>
      </c>
    </row>
    <row r="25" spans="1:19" x14ac:dyDescent="0.35">
      <c r="A25">
        <v>2</v>
      </c>
      <c r="B25">
        <v>4113.82</v>
      </c>
      <c r="C25">
        <v>2178.36</v>
      </c>
      <c r="D25">
        <v>634.05999999999995</v>
      </c>
      <c r="E25">
        <f t="shared" ref="E25:E27" si="12">SQRT((B$28-B25)^2+(C$28-C25)^2)</f>
        <v>708.59687566344815</v>
      </c>
      <c r="F25">
        <f t="shared" ref="F25:F28" si="13">SQRT(E25^2+(D$28-D25)^2)</f>
        <v>709.28122398664993</v>
      </c>
      <c r="G25">
        <f t="shared" ref="G25:G27" si="14">DEGREES(ACOS( (D25-D$28) /F25))</f>
        <v>87.482891550798044</v>
      </c>
      <c r="H25">
        <f t="shared" ref="H25:H27" si="15">INT(K25)</f>
        <v>18</v>
      </c>
      <c r="I25">
        <f t="shared" ref="I25:I27" si="16">INT(60*(K25-H25))</f>
        <v>25</v>
      </c>
      <c r="J25">
        <f t="shared" ref="J25:J27" si="17">(K25-H25)*3600-I25*60</f>
        <v>14.267511868234806</v>
      </c>
      <c r="K25">
        <f>DEGREES(ATAN2((C25-C$28),(B25-B$28)))</f>
        <v>18.420629864407843</v>
      </c>
      <c r="L25">
        <v>53</v>
      </c>
      <c r="M25">
        <v>34</v>
      </c>
      <c r="N25">
        <v>54</v>
      </c>
      <c r="O25">
        <f t="shared" ref="O25:O29" si="18">L25+M25/60+N25/3600</f>
        <v>53.581666666666671</v>
      </c>
      <c r="P25">
        <f t="shared" ref="P25:P27" si="19">INT(S25)</f>
        <v>324</v>
      </c>
      <c r="Q25">
        <f t="shared" ref="Q25:Q27" si="20">INT(60*(S25-P25))</f>
        <v>50</v>
      </c>
      <c r="R25">
        <f t="shared" ref="R25:R27" si="21">(S25-P25)*3600-Q25*60</f>
        <v>20.267511868246402</v>
      </c>
      <c r="S25">
        <f>K25-O25+360</f>
        <v>324.83896319774118</v>
      </c>
    </row>
    <row r="26" spans="1:19" x14ac:dyDescent="0.35">
      <c r="A26">
        <v>3</v>
      </c>
      <c r="B26">
        <v>3561.02</v>
      </c>
      <c r="C26">
        <v>2010.34</v>
      </c>
      <c r="D26">
        <v>541.78</v>
      </c>
      <c r="E26">
        <f t="shared" si="12"/>
        <v>602.04390620618346</v>
      </c>
      <c r="F26">
        <f t="shared" si="13"/>
        <v>605.13944004667201</v>
      </c>
      <c r="G26">
        <f t="shared" si="14"/>
        <v>95.797796734836453</v>
      </c>
      <c r="H26">
        <f t="shared" si="15"/>
        <v>326</v>
      </c>
      <c r="I26">
        <f t="shared" si="16"/>
        <v>53</v>
      </c>
      <c r="J26">
        <f t="shared" si="17"/>
        <v>13.92858914268345</v>
      </c>
      <c r="K26">
        <f t="shared" ref="K26" si="22">DEGREES(ATAN2((C26-C$28),(B26-B$28)))+360</f>
        <v>326.88720238587297</v>
      </c>
      <c r="L26">
        <v>2</v>
      </c>
      <c r="M26">
        <v>2</v>
      </c>
      <c r="N26">
        <v>54</v>
      </c>
      <c r="O26">
        <f t="shared" si="18"/>
        <v>2.0483333333333333</v>
      </c>
      <c r="P26">
        <f t="shared" si="19"/>
        <v>324</v>
      </c>
      <c r="Q26">
        <f t="shared" si="20"/>
        <v>50</v>
      </c>
      <c r="R26">
        <f t="shared" si="21"/>
        <v>19.928589142637065</v>
      </c>
      <c r="S26">
        <f t="shared" ref="S26" si="23">K26-O26</f>
        <v>324.83886905253962</v>
      </c>
    </row>
    <row r="27" spans="1:19" x14ac:dyDescent="0.35">
      <c r="A27">
        <v>4</v>
      </c>
      <c r="B27">
        <v>4081.06</v>
      </c>
      <c r="C27">
        <v>2008.91</v>
      </c>
      <c r="D27">
        <v>540.05999999999995</v>
      </c>
      <c r="E27">
        <f t="shared" si="12"/>
        <v>537.94645467741509</v>
      </c>
      <c r="F27">
        <f t="shared" si="13"/>
        <v>541.60549350980568</v>
      </c>
      <c r="G27">
        <f t="shared" si="14"/>
        <v>96.663837792122777</v>
      </c>
      <c r="H27">
        <f t="shared" si="15"/>
        <v>20</v>
      </c>
      <c r="I27">
        <f t="shared" si="16"/>
        <v>48</v>
      </c>
      <c r="J27">
        <f t="shared" si="17"/>
        <v>49.824069507378681</v>
      </c>
      <c r="K27">
        <f>DEGREES(ATAN2((C27-C$28),(B27-B$28)))</f>
        <v>20.813840019307605</v>
      </c>
      <c r="L27">
        <v>55</v>
      </c>
      <c r="M27">
        <v>58</v>
      </c>
      <c r="N27">
        <v>30</v>
      </c>
      <c r="O27">
        <f t="shared" si="18"/>
        <v>55.975000000000001</v>
      </c>
      <c r="P27">
        <f t="shared" si="19"/>
        <v>324</v>
      </c>
      <c r="Q27">
        <f t="shared" si="20"/>
        <v>50</v>
      </c>
      <c r="R27">
        <f t="shared" si="21"/>
        <v>19.824069507399145</v>
      </c>
      <c r="S27">
        <f>K27-O27+360</f>
        <v>324.83884001930761</v>
      </c>
    </row>
    <row r="28" spans="1:19" x14ac:dyDescent="0.35">
      <c r="A28">
        <v>5</v>
      </c>
      <c r="B28">
        <v>3889.91</v>
      </c>
      <c r="C28">
        <v>1506.07</v>
      </c>
      <c r="D28">
        <v>602.91</v>
      </c>
      <c r="F28">
        <f t="shared" si="13"/>
        <v>0</v>
      </c>
    </row>
    <row r="29" spans="1:19" x14ac:dyDescent="0.35">
      <c r="A29">
        <v>6</v>
      </c>
      <c r="H29" s="3">
        <f t="shared" ref="H29" si="24">INT(K29)</f>
        <v>358</v>
      </c>
      <c r="I29" s="3">
        <f t="shared" ref="I29" si="25">INT(60*(K29-H29))</f>
        <v>4</v>
      </c>
      <c r="J29" s="3">
        <f t="shared" ref="J29" si="26">(K29-H29)*3600-I29*60</f>
        <v>54.893785998033309</v>
      </c>
      <c r="K29" s="3">
        <f>S29+O29</f>
        <v>358.08191494055501</v>
      </c>
      <c r="L29">
        <v>33</v>
      </c>
      <c r="M29">
        <v>14</v>
      </c>
      <c r="N29">
        <v>35</v>
      </c>
      <c r="O29">
        <f t="shared" si="18"/>
        <v>33.243055555555557</v>
      </c>
      <c r="P29">
        <v>324</v>
      </c>
      <c r="Q29">
        <v>50</v>
      </c>
      <c r="R29">
        <f>AVERAGE(R24:R27)</f>
        <v>19.893785998129943</v>
      </c>
      <c r="S29">
        <f t="shared" ref="S29" si="27">P29+Q29/60+R29/3600</f>
        <v>324.83885938499947</v>
      </c>
    </row>
    <row r="31" spans="1:19" x14ac:dyDescent="0.35">
      <c r="A31" t="s">
        <v>0</v>
      </c>
      <c r="B31" t="s">
        <v>1</v>
      </c>
      <c r="C31" s="4" t="s">
        <v>2</v>
      </c>
      <c r="D31" s="4"/>
      <c r="E31" s="4"/>
      <c r="F31" s="4"/>
      <c r="G31" s="4" t="s">
        <v>5</v>
      </c>
      <c r="H31" s="4"/>
      <c r="I31" s="4"/>
      <c r="J31" s="4"/>
      <c r="K31" t="s">
        <v>3</v>
      </c>
      <c r="L31" t="s">
        <v>4</v>
      </c>
      <c r="M31" s="3" t="s">
        <v>6</v>
      </c>
      <c r="N31" s="3" t="s">
        <v>7</v>
      </c>
      <c r="O31" s="3" t="s">
        <v>8</v>
      </c>
    </row>
    <row r="32" spans="1:19" x14ac:dyDescent="0.35">
      <c r="A32">
        <v>5</v>
      </c>
      <c r="B32">
        <v>1</v>
      </c>
      <c r="C32">
        <v>88</v>
      </c>
      <c r="D32">
        <v>14</v>
      </c>
      <c r="E32">
        <v>15</v>
      </c>
      <c r="F32">
        <f>C32+D32/60+E32/3600</f>
        <v>88.237499999999997</v>
      </c>
      <c r="G32">
        <f>INT(J32)</f>
        <v>88</v>
      </c>
      <c r="H32">
        <f>INT(60*(J32-G32))</f>
        <v>13</v>
      </c>
      <c r="I32">
        <f>(J32-G32)*3600-H32*60</f>
        <v>13.338881387194306</v>
      </c>
      <c r="J32">
        <f>G24</f>
        <v>88.220371911496443</v>
      </c>
      <c r="K32">
        <v>747.38400000000001</v>
      </c>
      <c r="L32">
        <f>F24</f>
        <v>747.37463450400844</v>
      </c>
      <c r="M32" s="3">
        <f>L32/K32</f>
        <v>0.99998746896375679</v>
      </c>
      <c r="N32" s="3">
        <f>((J32-F32)/L32)*3600</f>
        <v>-8.2503627720409006E-2</v>
      </c>
      <c r="O32" s="3">
        <f>N32*1000</f>
        <v>-82.503627720409</v>
      </c>
    </row>
    <row r="33" spans="1:15" x14ac:dyDescent="0.35">
      <c r="A33">
        <v>5</v>
      </c>
      <c r="B33">
        <v>2</v>
      </c>
      <c r="C33">
        <v>87</v>
      </c>
      <c r="D33">
        <v>29</v>
      </c>
      <c r="E33">
        <v>59</v>
      </c>
      <c r="F33">
        <f t="shared" ref="F33:F36" si="28">C33+D33/60+E33/3600</f>
        <v>87.499722222222218</v>
      </c>
      <c r="G33">
        <f t="shared" ref="G33:G35" si="29">INT(J33)</f>
        <v>87</v>
      </c>
      <c r="H33">
        <f t="shared" ref="H33:H35" si="30">INT(60*(J33-G33))</f>
        <v>28</v>
      </c>
      <c r="I33">
        <f t="shared" ref="I33:I35" si="31">(J33-G33)*3600-H33*60</f>
        <v>58.409582872958481</v>
      </c>
      <c r="J33">
        <f t="shared" ref="J33:J35" si="32">G25</f>
        <v>87.482891550798044</v>
      </c>
      <c r="K33">
        <v>709.29</v>
      </c>
      <c r="L33">
        <f t="shared" ref="L33:L35" si="33">F25</f>
        <v>709.28122398664993</v>
      </c>
      <c r="M33" s="3">
        <f t="shared" ref="M33:M35" si="34">L33/K33</f>
        <v>0.99998762704486177</v>
      </c>
      <c r="N33" s="3">
        <f t="shared" ref="N33:N35" si="35">((J33-F33)/L33)*3600</f>
        <v>-8.542509667246713E-2</v>
      </c>
      <c r="O33" s="3">
        <f t="shared" ref="O33:O35" si="36">N33*1000</f>
        <v>-85.425096672467134</v>
      </c>
    </row>
    <row r="34" spans="1:15" x14ac:dyDescent="0.35">
      <c r="A34">
        <v>5</v>
      </c>
      <c r="B34">
        <v>3</v>
      </c>
      <c r="C34">
        <v>95</v>
      </c>
      <c r="D34">
        <v>48</v>
      </c>
      <c r="E34">
        <v>41</v>
      </c>
      <c r="F34">
        <f t="shared" si="28"/>
        <v>95.811388888888885</v>
      </c>
      <c r="G34">
        <f t="shared" si="29"/>
        <v>95</v>
      </c>
      <c r="H34">
        <f t="shared" si="30"/>
        <v>47</v>
      </c>
      <c r="I34">
        <f t="shared" si="31"/>
        <v>52.068245411230691</v>
      </c>
      <c r="J34">
        <f t="shared" si="32"/>
        <v>95.797796734836453</v>
      </c>
      <c r="K34">
        <v>605.14800000000002</v>
      </c>
      <c r="L34">
        <f t="shared" si="33"/>
        <v>605.13944004667201</v>
      </c>
      <c r="M34" s="3">
        <f t="shared" si="34"/>
        <v>0.9999858547771322</v>
      </c>
      <c r="N34" s="3">
        <f t="shared" si="35"/>
        <v>-8.0860296570625087E-2</v>
      </c>
      <c r="O34" s="3">
        <f t="shared" si="36"/>
        <v>-80.860296570625081</v>
      </c>
    </row>
    <row r="35" spans="1:15" x14ac:dyDescent="0.35">
      <c r="A35">
        <v>5</v>
      </c>
      <c r="B35">
        <v>4</v>
      </c>
      <c r="C35">
        <v>96</v>
      </c>
      <c r="D35">
        <v>40</v>
      </c>
      <c r="E35">
        <v>28</v>
      </c>
      <c r="F35">
        <f t="shared" si="28"/>
        <v>96.674444444444447</v>
      </c>
      <c r="G35">
        <f t="shared" si="29"/>
        <v>96</v>
      </c>
      <c r="H35">
        <f t="shared" si="30"/>
        <v>39</v>
      </c>
      <c r="I35">
        <f t="shared" si="31"/>
        <v>49.816051641997547</v>
      </c>
      <c r="J35">
        <f t="shared" si="32"/>
        <v>96.663837792122777</v>
      </c>
      <c r="K35">
        <v>541.61199999999997</v>
      </c>
      <c r="L35">
        <f t="shared" si="33"/>
        <v>541.60549350980568</v>
      </c>
      <c r="M35" s="3">
        <f t="shared" si="34"/>
        <v>0.99998798680569434</v>
      </c>
      <c r="N35" s="3">
        <f t="shared" si="35"/>
        <v>-7.0501405202825093E-2</v>
      </c>
      <c r="O35" s="3">
        <f t="shared" si="36"/>
        <v>-70.501405202825097</v>
      </c>
    </row>
    <row r="36" spans="1:15" x14ac:dyDescent="0.35">
      <c r="A36">
        <v>5</v>
      </c>
      <c r="B36">
        <v>6</v>
      </c>
      <c r="C36">
        <v>91</v>
      </c>
      <c r="D36">
        <v>15</v>
      </c>
      <c r="E36">
        <v>29</v>
      </c>
      <c r="F36">
        <f t="shared" si="28"/>
        <v>91.258055555555558</v>
      </c>
      <c r="G36" s="3">
        <v>91</v>
      </c>
      <c r="H36" s="3">
        <v>14</v>
      </c>
      <c r="I36" s="3">
        <f>89+J37</f>
        <v>41.552644445618498</v>
      </c>
      <c r="J36">
        <f t="shared" ref="J36" si="37">G36+H36/60+I36/3600</f>
        <v>91.244875734568225</v>
      </c>
      <c r="K36">
        <v>594.41</v>
      </c>
      <c r="L36" s="3">
        <f>K36*M37</f>
        <v>594.40241199843274</v>
      </c>
      <c r="M36" s="3"/>
      <c r="N36" s="3"/>
      <c r="O36" s="3"/>
    </row>
    <row r="37" spans="1:15" x14ac:dyDescent="0.35">
      <c r="J37">
        <f>N37*K36</f>
        <v>-47.447355554381502</v>
      </c>
      <c r="M37" s="3">
        <f>AVERAGE(M32:M36)</f>
        <v>0.9999872343978613</v>
      </c>
      <c r="N37" s="3">
        <f>O37/1000</f>
        <v>-7.9822606541581576E-2</v>
      </c>
      <c r="O37" s="3">
        <f>AVERAGE(O32:O36)</f>
        <v>-79.822606541581578</v>
      </c>
    </row>
    <row r="39" spans="1:15" x14ac:dyDescent="0.35">
      <c r="A39" t="s">
        <v>50</v>
      </c>
      <c r="B39">
        <f>L36*SIN(RADIANS(J36))</f>
        <v>594.26211763559695</v>
      </c>
    </row>
    <row r="40" spans="1:15" x14ac:dyDescent="0.35">
      <c r="A40" t="s">
        <v>51</v>
      </c>
      <c r="B40">
        <f>B39*SIN(RADIANS(K29))</f>
        <v>-19.890337581749915</v>
      </c>
    </row>
    <row r="41" spans="1:15" x14ac:dyDescent="0.35">
      <c r="A41" t="s">
        <v>52</v>
      </c>
      <c r="B41">
        <f>B39*COS(RADIANS(K29))</f>
        <v>593.92915312150501</v>
      </c>
    </row>
    <row r="42" spans="1:15" x14ac:dyDescent="0.35">
      <c r="A42" t="s">
        <v>34</v>
      </c>
      <c r="B42">
        <f>L36*COS(RADIANS(J36))</f>
        <v>-12.913672320861117</v>
      </c>
    </row>
    <row r="43" spans="1:15" x14ac:dyDescent="0.35">
      <c r="A43" t="s">
        <v>53</v>
      </c>
      <c r="C43">
        <f>D28+B42</f>
        <v>589.99632767913886</v>
      </c>
    </row>
  </sheetData>
  <mergeCells count="9">
    <mergeCell ref="C31:F31"/>
    <mergeCell ref="G31:J31"/>
    <mergeCell ref="H23:K23"/>
    <mergeCell ref="L23:O23"/>
    <mergeCell ref="P23:S23"/>
    <mergeCell ref="C1:F1"/>
    <mergeCell ref="G1:J1"/>
    <mergeCell ref="C11:F11"/>
    <mergeCell ref="G11:J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18CC-2DFF-4313-8E9E-1379561FFF49}">
  <dimension ref="A1:K16"/>
  <sheetViews>
    <sheetView workbookViewId="0">
      <selection activeCell="G11" sqref="G11"/>
    </sheetView>
  </sheetViews>
  <sheetFormatPr defaultRowHeight="14.5" x14ac:dyDescent="0.35"/>
  <sheetData>
    <row r="1" spans="1:11" x14ac:dyDescent="0.35">
      <c r="A1" t="s">
        <v>9</v>
      </c>
      <c r="B1" t="s">
        <v>10</v>
      </c>
      <c r="C1" s="1" t="s">
        <v>11</v>
      </c>
      <c r="D1" s="1"/>
      <c r="E1" s="1"/>
      <c r="F1" s="1"/>
      <c r="G1" t="s">
        <v>12</v>
      </c>
      <c r="H1" s="4" t="s">
        <v>13</v>
      </c>
      <c r="I1" s="4"/>
      <c r="J1" s="4"/>
      <c r="K1" s="4"/>
    </row>
    <row r="2" spans="1:11" x14ac:dyDescent="0.35">
      <c r="A2">
        <v>1</v>
      </c>
      <c r="B2">
        <v>1.3</v>
      </c>
      <c r="C2">
        <v>30</v>
      </c>
      <c r="D2">
        <v>45</v>
      </c>
      <c r="E2">
        <v>50</v>
      </c>
      <c r="F2">
        <f>C2+D2/60+E2/3600</f>
        <v>30.763888888888889</v>
      </c>
      <c r="G2">
        <v>6.7889999999999997</v>
      </c>
      <c r="H2">
        <v>95</v>
      </c>
      <c r="I2">
        <v>10</v>
      </c>
      <c r="J2">
        <v>20</v>
      </c>
      <c r="K2">
        <f>H2+I2/60+J2/3600</f>
        <v>95.172222222222231</v>
      </c>
    </row>
    <row r="3" spans="1:11" x14ac:dyDescent="0.35">
      <c r="A3">
        <v>2</v>
      </c>
      <c r="B3">
        <v>1.5</v>
      </c>
      <c r="C3">
        <v>32</v>
      </c>
      <c r="D3">
        <v>11</v>
      </c>
      <c r="E3">
        <v>22</v>
      </c>
      <c r="F3">
        <f>C3+D3/60+E3/3600</f>
        <v>32.18944444444444</v>
      </c>
      <c r="G3">
        <v>6.8879999999999999</v>
      </c>
      <c r="H3">
        <v>94</v>
      </c>
      <c r="I3">
        <v>55</v>
      </c>
      <c r="J3">
        <v>44</v>
      </c>
      <c r="K3">
        <f>H3+I3/60+J3/3600</f>
        <v>94.928888888888892</v>
      </c>
    </row>
    <row r="5" spans="1:11" x14ac:dyDescent="0.35">
      <c r="A5" t="s">
        <v>14</v>
      </c>
      <c r="B5" t="s">
        <v>15</v>
      </c>
      <c r="C5" t="s">
        <v>16</v>
      </c>
      <c r="D5" t="s">
        <v>17</v>
      </c>
    </row>
    <row r="6" spans="1:11" x14ac:dyDescent="0.35">
      <c r="A6">
        <v>1</v>
      </c>
      <c r="B6">
        <f>G2*SIN(RADIANS(K2))*SIN(RADIANS(F2))</f>
        <v>3.4584433957761336</v>
      </c>
      <c r="C6">
        <f>G2*SIN(RADIANS(K2))*COS(RADIANS(F2))</f>
        <v>5.8099151151024611</v>
      </c>
      <c r="D6">
        <f>G2*COS(RADIANS(K2))</f>
        <v>-0.61202666078889478</v>
      </c>
    </row>
    <row r="7" spans="1:11" x14ac:dyDescent="0.35">
      <c r="A7">
        <v>2</v>
      </c>
      <c r="B7">
        <f>G3*SIN(RADIANS(K3))*SIN(RADIANS(F3))</f>
        <v>3.655808946889576</v>
      </c>
      <c r="C7">
        <f>G3*SIN(RADIANS(K3))*COS(RADIANS(F3))</f>
        <v>5.807698643549621</v>
      </c>
      <c r="D7">
        <f>G3*COS(RADIANS(K3))</f>
        <v>-0.59181197145210207</v>
      </c>
    </row>
    <row r="9" spans="1:11" x14ac:dyDescent="0.35">
      <c r="A9" t="s">
        <v>18</v>
      </c>
    </row>
    <row r="10" spans="1:11" x14ac:dyDescent="0.35">
      <c r="A10" t="s">
        <v>19</v>
      </c>
    </row>
    <row r="11" spans="1:11" x14ac:dyDescent="0.35">
      <c r="A11" t="s">
        <v>20</v>
      </c>
    </row>
    <row r="12" spans="1:11" x14ac:dyDescent="0.35">
      <c r="A12" t="s">
        <v>21</v>
      </c>
    </row>
    <row r="13" spans="1:11" x14ac:dyDescent="0.35">
      <c r="A13" t="s">
        <v>22</v>
      </c>
    </row>
    <row r="14" spans="1:11" x14ac:dyDescent="0.35">
      <c r="A14" t="s">
        <v>23</v>
      </c>
    </row>
    <row r="16" spans="1:11" x14ac:dyDescent="0.35">
      <c r="B16">
        <f>(1.3*B7-1.5*B6)/(-0.2)</f>
        <v>2.1755673135387577</v>
      </c>
      <c r="C16">
        <f t="shared" ref="C16:D16" si="0">(1.3*C7-1.5*C6)/(-0.2)</f>
        <v>5.8243221801959155</v>
      </c>
      <c r="D16">
        <f t="shared" si="0"/>
        <v>-0.74342214147804675</v>
      </c>
    </row>
  </sheetData>
  <mergeCells count="1">
    <mergeCell ref="H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4583B-81CD-4AB3-9831-F274695A456E}">
  <dimension ref="A1:D51"/>
  <sheetViews>
    <sheetView workbookViewId="0">
      <selection sqref="A1:XFD1048576"/>
    </sheetView>
  </sheetViews>
  <sheetFormatPr defaultRowHeight="14.5" x14ac:dyDescent="0.35"/>
  <cols>
    <col min="1" max="1" width="10.7265625" bestFit="1" customWidth="1"/>
  </cols>
  <sheetData>
    <row r="1" spans="1:4" x14ac:dyDescent="0.35">
      <c r="A1" s="2" t="s">
        <v>57</v>
      </c>
    </row>
    <row r="2" spans="1:4" x14ac:dyDescent="0.35">
      <c r="A2" t="s">
        <v>58</v>
      </c>
      <c r="B2" t="s">
        <v>15</v>
      </c>
      <c r="C2" t="s">
        <v>16</v>
      </c>
      <c r="D2" t="s">
        <v>17</v>
      </c>
    </row>
    <row r="3" spans="1:4" x14ac:dyDescent="0.35">
      <c r="A3" t="s">
        <v>59</v>
      </c>
      <c r="B3">
        <v>16.5</v>
      </c>
      <c r="C3">
        <v>20</v>
      </c>
      <c r="D3">
        <v>10</v>
      </c>
    </row>
    <row r="4" spans="1:4" x14ac:dyDescent="0.35">
      <c r="A4" t="s">
        <v>60</v>
      </c>
      <c r="B4">
        <v>11</v>
      </c>
      <c r="C4">
        <v>34</v>
      </c>
      <c r="D4">
        <v>2.2000000000000002</v>
      </c>
    </row>
    <row r="5" spans="1:4" x14ac:dyDescent="0.35">
      <c r="A5" t="s">
        <v>61</v>
      </c>
      <c r="B5">
        <v>10.5</v>
      </c>
      <c r="C5">
        <v>24.5</v>
      </c>
      <c r="D5">
        <v>1.9</v>
      </c>
    </row>
    <row r="6" spans="1:4" x14ac:dyDescent="0.35">
      <c r="A6" t="s">
        <v>62</v>
      </c>
      <c r="B6">
        <v>17.5</v>
      </c>
      <c r="C6">
        <v>37.5</v>
      </c>
      <c r="D6">
        <v>9</v>
      </c>
    </row>
    <row r="9" spans="1:4" x14ac:dyDescent="0.35">
      <c r="A9" s="2" t="s">
        <v>63</v>
      </c>
    </row>
    <row r="10" spans="1:4" x14ac:dyDescent="0.35">
      <c r="A10" t="s">
        <v>64</v>
      </c>
    </row>
    <row r="11" spans="1:4" x14ac:dyDescent="0.35">
      <c r="A11" t="s">
        <v>65</v>
      </c>
    </row>
    <row r="13" spans="1:4" x14ac:dyDescent="0.35">
      <c r="A13" t="s">
        <v>66</v>
      </c>
      <c r="B13">
        <f>B4-B3</f>
        <v>-5.5</v>
      </c>
      <c r="C13">
        <f t="shared" ref="C13:D13" si="0">C4-C3</f>
        <v>14</v>
      </c>
      <c r="D13">
        <f t="shared" si="0"/>
        <v>-7.8</v>
      </c>
    </row>
    <row r="14" spans="1:4" x14ac:dyDescent="0.35">
      <c r="A14" t="s">
        <v>67</v>
      </c>
      <c r="B14">
        <f>B6-B5</f>
        <v>7</v>
      </c>
      <c r="C14">
        <f t="shared" ref="C14:D14" si="1">C6-C5</f>
        <v>13</v>
      </c>
      <c r="D14">
        <f t="shared" si="1"/>
        <v>7.1</v>
      </c>
    </row>
    <row r="17" spans="1:4" x14ac:dyDescent="0.35">
      <c r="A17" s="2" t="s">
        <v>68</v>
      </c>
    </row>
    <row r="18" spans="1:4" x14ac:dyDescent="0.35">
      <c r="A18" t="s">
        <v>69</v>
      </c>
      <c r="B18">
        <f>B5-B3</f>
        <v>-6</v>
      </c>
      <c r="C18">
        <f t="shared" ref="C18:D18" si="2">C5-C3</f>
        <v>4.5</v>
      </c>
      <c r="D18">
        <f t="shared" si="2"/>
        <v>-8.1</v>
      </c>
    </row>
    <row r="21" spans="1:4" x14ac:dyDescent="0.35">
      <c r="A21" s="2" t="s">
        <v>70</v>
      </c>
    </row>
    <row r="22" spans="1:4" x14ac:dyDescent="0.35">
      <c r="A22" t="s">
        <v>71</v>
      </c>
      <c r="B22">
        <f>B13^2+C13^2+D13^2</f>
        <v>287.08999999999997</v>
      </c>
    </row>
    <row r="23" spans="1:4" x14ac:dyDescent="0.35">
      <c r="A23" t="s">
        <v>72</v>
      </c>
      <c r="B23">
        <f>B14^2+C14^2+D14^2</f>
        <v>268.40999999999997</v>
      </c>
    </row>
    <row r="24" spans="1:4" x14ac:dyDescent="0.35">
      <c r="A24" t="s">
        <v>73</v>
      </c>
      <c r="B24">
        <f>B13*B14+C13*C14+D13*D14</f>
        <v>88.12</v>
      </c>
    </row>
    <row r="25" spans="1:4" x14ac:dyDescent="0.35">
      <c r="A25" t="s">
        <v>74</v>
      </c>
      <c r="B25">
        <f>B13*B18+C13*C18+D13*D18</f>
        <v>159.18</v>
      </c>
    </row>
    <row r="26" spans="1:4" x14ac:dyDescent="0.35">
      <c r="A26" t="s">
        <v>75</v>
      </c>
      <c r="B26">
        <f>B14*B18+C14*C18+D14*D18</f>
        <v>-41.01</v>
      </c>
    </row>
    <row r="29" spans="1:4" x14ac:dyDescent="0.35">
      <c r="A29" s="2" t="s">
        <v>76</v>
      </c>
    </row>
    <row r="30" spans="1:4" x14ac:dyDescent="0.35">
      <c r="A30" t="s">
        <v>77</v>
      </c>
      <c r="B30">
        <v>0.37230000000000002</v>
      </c>
    </row>
    <row r="31" spans="1:4" x14ac:dyDescent="0.35">
      <c r="A31" t="s">
        <v>78</v>
      </c>
      <c r="B31">
        <v>0.66869999999999996</v>
      </c>
    </row>
    <row r="34" spans="1:4" x14ac:dyDescent="0.35">
      <c r="A34" s="2" t="s">
        <v>79</v>
      </c>
    </row>
    <row r="35" spans="1:4" x14ac:dyDescent="0.35">
      <c r="A35" t="s">
        <v>80</v>
      </c>
      <c r="B35">
        <f>$B$30*B14</f>
        <v>2.6061000000000001</v>
      </c>
      <c r="C35">
        <f t="shared" ref="C35:D35" si="3">$B$30*C14</f>
        <v>4.8399000000000001</v>
      </c>
      <c r="D35">
        <f t="shared" si="3"/>
        <v>2.6433300000000002</v>
      </c>
    </row>
    <row r="36" spans="1:4" x14ac:dyDescent="0.35">
      <c r="A36" t="s">
        <v>81</v>
      </c>
      <c r="B36">
        <f>$B$31*B13</f>
        <v>-3.6778499999999998</v>
      </c>
      <c r="C36">
        <f t="shared" ref="C36:D36" si="4">$B$31*C13</f>
        <v>9.3617999999999988</v>
      </c>
      <c r="D36">
        <f t="shared" si="4"/>
        <v>-5.2158599999999993</v>
      </c>
    </row>
    <row r="38" spans="1:4" x14ac:dyDescent="0.35">
      <c r="A38" t="s">
        <v>82</v>
      </c>
    </row>
    <row r="39" spans="1:4" x14ac:dyDescent="0.35">
      <c r="A39" t="s">
        <v>56</v>
      </c>
      <c r="B39">
        <f>B18+B35-B36</f>
        <v>0.28394999999999992</v>
      </c>
      <c r="C39">
        <f t="shared" ref="C39:D39" si="5">C18+C35-C36</f>
        <v>-2.1899999999998698E-2</v>
      </c>
      <c r="D39">
        <f t="shared" si="5"/>
        <v>-0.24080999999999975</v>
      </c>
    </row>
    <row r="41" spans="1:4" x14ac:dyDescent="0.35">
      <c r="A41" t="s">
        <v>83</v>
      </c>
      <c r="B41">
        <f>SQRT(B39^2+C39^2+D39^2)</f>
        <v>0.37295665780355736</v>
      </c>
    </row>
    <row r="44" spans="1:4" x14ac:dyDescent="0.35">
      <c r="A44" s="2" t="s">
        <v>84</v>
      </c>
    </row>
    <row r="45" spans="1:4" x14ac:dyDescent="0.35">
      <c r="A45" t="s">
        <v>85</v>
      </c>
    </row>
    <row r="46" spans="1:4" x14ac:dyDescent="0.35">
      <c r="A46" t="s">
        <v>86</v>
      </c>
    </row>
    <row r="47" spans="1:4" x14ac:dyDescent="0.35">
      <c r="A47" t="s">
        <v>87</v>
      </c>
      <c r="B47">
        <f>B3+B36</f>
        <v>12.822150000000001</v>
      </c>
      <c r="C47">
        <f t="shared" ref="C47:D47" si="6">C3+C36</f>
        <v>29.361799999999999</v>
      </c>
      <c r="D47">
        <f t="shared" si="6"/>
        <v>4.7841400000000007</v>
      </c>
    </row>
    <row r="49" spans="1:4" x14ac:dyDescent="0.35">
      <c r="A49" t="s">
        <v>88</v>
      </c>
    </row>
    <row r="50" spans="1:4" x14ac:dyDescent="0.35">
      <c r="A50" t="s">
        <v>89</v>
      </c>
    </row>
    <row r="51" spans="1:4" x14ac:dyDescent="0.35">
      <c r="A51" t="s">
        <v>90</v>
      </c>
      <c r="B51">
        <f>B5+B35</f>
        <v>13.1061</v>
      </c>
      <c r="C51">
        <f t="shared" ref="C51:D51" si="7">C5+C35</f>
        <v>29.3399</v>
      </c>
      <c r="D51">
        <f t="shared" si="7"/>
        <v>4.5433300000000001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EF1A4-5F25-41FC-8F66-7678CE3F09C6}">
  <dimension ref="A1:K11"/>
  <sheetViews>
    <sheetView workbookViewId="0">
      <selection activeCell="J5" sqref="J5"/>
    </sheetView>
  </sheetViews>
  <sheetFormatPr defaultRowHeight="14.5" x14ac:dyDescent="0.35"/>
  <sheetData>
    <row r="1" spans="1:11" x14ac:dyDescent="0.35">
      <c r="A1" t="s">
        <v>14</v>
      </c>
      <c r="B1" t="s">
        <v>15</v>
      </c>
      <c r="C1" t="s">
        <v>16</v>
      </c>
      <c r="D1" t="s">
        <v>25</v>
      </c>
      <c r="E1" t="s">
        <v>26</v>
      </c>
      <c r="F1" t="s">
        <v>27</v>
      </c>
      <c r="G1" t="s">
        <v>12</v>
      </c>
      <c r="H1" s="4" t="s">
        <v>28</v>
      </c>
      <c r="I1" s="4"/>
      <c r="J1" s="4"/>
      <c r="K1" s="4"/>
    </row>
    <row r="2" spans="1:11" x14ac:dyDescent="0.35">
      <c r="A2" t="s">
        <v>24</v>
      </c>
      <c r="B2">
        <v>100.46</v>
      </c>
      <c r="C2">
        <v>531.21</v>
      </c>
      <c r="D2">
        <v>112.32</v>
      </c>
      <c r="E2">
        <v>1.764</v>
      </c>
      <c r="F2">
        <v>1.6</v>
      </c>
      <c r="G2">
        <v>30.052</v>
      </c>
      <c r="H2">
        <v>273</v>
      </c>
      <c r="I2">
        <v>27</v>
      </c>
      <c r="J2">
        <v>51</v>
      </c>
      <c r="K2">
        <f>H2+I2/60+J2/3600</f>
        <v>273.46416666666664</v>
      </c>
    </row>
    <row r="4" spans="1:11" x14ac:dyDescent="0.35">
      <c r="H4" s="4" t="s">
        <v>13</v>
      </c>
      <c r="I4" s="4"/>
      <c r="J4" s="4"/>
      <c r="K4" s="4"/>
    </row>
    <row r="5" spans="1:11" x14ac:dyDescent="0.35">
      <c r="H5">
        <f>INT(K5)</f>
        <v>86</v>
      </c>
      <c r="I5">
        <f>INT(60*(K5-H5))</f>
        <v>32</v>
      </c>
      <c r="J5">
        <f>(K5-H5)*3600-I5*60</f>
        <v>9.0000000000873115</v>
      </c>
      <c r="K5">
        <f>360-K2</f>
        <v>86.535833333333358</v>
      </c>
    </row>
    <row r="7" spans="1:11" x14ac:dyDescent="0.35">
      <c r="A7" t="s">
        <v>29</v>
      </c>
    </row>
    <row r="8" spans="1:11" x14ac:dyDescent="0.35">
      <c r="B8">
        <f>G2*COS(RADIANS(K5))</f>
        <v>1.8158705978782945</v>
      </c>
    </row>
    <row r="10" spans="1:11" x14ac:dyDescent="0.35">
      <c r="A10" t="s">
        <v>30</v>
      </c>
    </row>
    <row r="11" spans="1:11" x14ac:dyDescent="0.35">
      <c r="B11">
        <f>D2+E2-F2+B8</f>
        <v>114.29987059787828</v>
      </c>
    </row>
  </sheetData>
  <mergeCells count="2">
    <mergeCell ref="H1:K1"/>
    <mergeCell ref="H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789EC-9CF3-4E04-9310-0888B2D3258A}">
  <dimension ref="A1:E12"/>
  <sheetViews>
    <sheetView workbookViewId="0">
      <selection activeCell="B6" sqref="B6"/>
    </sheetView>
  </sheetViews>
  <sheetFormatPr defaultRowHeight="14.5" x14ac:dyDescent="0.35"/>
  <sheetData>
    <row r="1" spans="1:5" x14ac:dyDescent="0.35">
      <c r="A1" t="s">
        <v>31</v>
      </c>
      <c r="B1">
        <v>90</v>
      </c>
      <c r="C1">
        <v>0</v>
      </c>
      <c r="D1">
        <v>41</v>
      </c>
      <c r="E1">
        <f>B1+C1/60+D1/3600</f>
        <v>90.011388888888888</v>
      </c>
    </row>
    <row r="2" spans="1:5" x14ac:dyDescent="0.35">
      <c r="A2" t="s">
        <v>32</v>
      </c>
      <c r="B2">
        <v>90</v>
      </c>
      <c r="C2">
        <v>3</v>
      </c>
      <c r="D2">
        <v>35</v>
      </c>
      <c r="E2">
        <f>B2+C2/60+D2/3600</f>
        <v>90.05972222222222</v>
      </c>
    </row>
    <row r="3" spans="1:5" x14ac:dyDescent="0.35">
      <c r="A3" t="s">
        <v>33</v>
      </c>
      <c r="B3">
        <v>3229</v>
      </c>
    </row>
    <row r="5" spans="1:5" x14ac:dyDescent="0.35">
      <c r="A5" t="s">
        <v>35</v>
      </c>
    </row>
    <row r="6" spans="1:5" x14ac:dyDescent="0.35">
      <c r="A6" t="s">
        <v>36</v>
      </c>
      <c r="B6">
        <f>B3*COS(RADIANS(E1))</f>
        <v>-0.64183998005764664</v>
      </c>
    </row>
    <row r="7" spans="1:5" x14ac:dyDescent="0.35">
      <c r="A7" t="s">
        <v>37</v>
      </c>
      <c r="B7">
        <f>B3*COS(RADIANS(E2))</f>
        <v>-3.3657456495740998</v>
      </c>
    </row>
    <row r="9" spans="1:5" x14ac:dyDescent="0.35">
      <c r="A9" t="s">
        <v>38</v>
      </c>
    </row>
    <row r="10" spans="1:5" x14ac:dyDescent="0.35">
      <c r="B10">
        <f>(B6-B7)/2</f>
        <v>1.3619528347582266</v>
      </c>
    </row>
    <row r="12" spans="1:5" x14ac:dyDescent="0.35">
      <c r="A12" t="s">
        <v>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8691-3D53-4BE3-8EDE-51D6E027EFF9}">
  <dimension ref="A1:E7"/>
  <sheetViews>
    <sheetView workbookViewId="0">
      <selection activeCell="B6" sqref="B6"/>
    </sheetView>
  </sheetViews>
  <sheetFormatPr defaultRowHeight="14.5" x14ac:dyDescent="0.35"/>
  <sheetData>
    <row r="1" spans="1:5" x14ac:dyDescent="0.35">
      <c r="A1" t="s">
        <v>31</v>
      </c>
      <c r="B1">
        <v>90</v>
      </c>
      <c r="C1">
        <v>0</v>
      </c>
      <c r="D1">
        <v>41</v>
      </c>
      <c r="E1">
        <f>B1+C1/60+D1/3600</f>
        <v>90.011388888888888</v>
      </c>
    </row>
    <row r="2" spans="1:5" x14ac:dyDescent="0.35">
      <c r="A2" t="s">
        <v>32</v>
      </c>
      <c r="B2">
        <v>90</v>
      </c>
      <c r="C2">
        <v>3</v>
      </c>
      <c r="D2">
        <v>35</v>
      </c>
      <c r="E2">
        <f>B2+C2/60+D2/3600</f>
        <v>90.05972222222222</v>
      </c>
    </row>
    <row r="3" spans="1:5" x14ac:dyDescent="0.35">
      <c r="A3" t="s">
        <v>33</v>
      </c>
      <c r="B3">
        <v>3229</v>
      </c>
    </row>
    <row r="5" spans="1:5" x14ac:dyDescent="0.35">
      <c r="A5" t="s">
        <v>40</v>
      </c>
    </row>
    <row r="7" spans="1:5" x14ac:dyDescent="0.35">
      <c r="A7" t="s">
        <v>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8650-FE4A-43BD-A86F-EFC560067E60}">
  <dimension ref="A1:F11"/>
  <sheetViews>
    <sheetView workbookViewId="0">
      <selection activeCell="C2" sqref="C2"/>
    </sheetView>
  </sheetViews>
  <sheetFormatPr defaultRowHeight="14.5" x14ac:dyDescent="0.35"/>
  <sheetData>
    <row r="1" spans="1:6" x14ac:dyDescent="0.35">
      <c r="A1" t="s">
        <v>12</v>
      </c>
      <c r="B1">
        <v>345</v>
      </c>
    </row>
    <row r="2" spans="1:6" x14ac:dyDescent="0.35">
      <c r="A2" t="s">
        <v>13</v>
      </c>
      <c r="B2">
        <v>91</v>
      </c>
      <c r="C2">
        <v>23</v>
      </c>
      <c r="D2">
        <v>45</v>
      </c>
      <c r="E2">
        <f>B2+C2/60+D2/3600</f>
        <v>91.395833333333343</v>
      </c>
      <c r="F2">
        <f>RADIANS(E2)</f>
        <v>1.5951582142706509</v>
      </c>
    </row>
    <row r="3" spans="1:6" x14ac:dyDescent="0.35">
      <c r="A3" t="s">
        <v>42</v>
      </c>
      <c r="B3">
        <v>6364940</v>
      </c>
    </row>
    <row r="5" spans="1:6" x14ac:dyDescent="0.35">
      <c r="A5" t="s">
        <v>45</v>
      </c>
      <c r="B5">
        <f>B1*COS(F2)</f>
        <v>-8.4040198217565241</v>
      </c>
    </row>
    <row r="7" spans="1:6" x14ac:dyDescent="0.35">
      <c r="A7" t="s">
        <v>43</v>
      </c>
    </row>
    <row r="8" spans="1:6" x14ac:dyDescent="0.35">
      <c r="A8" t="s">
        <v>44</v>
      </c>
      <c r="B8" t="s">
        <v>34</v>
      </c>
    </row>
    <row r="9" spans="1:6" x14ac:dyDescent="0.35">
      <c r="A9">
        <v>-1</v>
      </c>
      <c r="B9">
        <f>B5+((1-A9/SIN(F2))/(2*B3))*(B1*SIN(F2))^2</f>
        <v>-8.3853280467016109</v>
      </c>
    </row>
    <row r="10" spans="1:6" x14ac:dyDescent="0.35">
      <c r="A10">
        <v>0</v>
      </c>
      <c r="B10">
        <f>B1*COS(F2)+((1-A10/SIN(F2))/(2*B3))*(B1*SIN(F2))^2</f>
        <v>-8.3946753210659573</v>
      </c>
    </row>
    <row r="11" spans="1:6" x14ac:dyDescent="0.35">
      <c r="A11">
        <v>1</v>
      </c>
      <c r="B11">
        <f>B1*COS(F2)+((1-A11/SIN(F2))/(2*B3))*(B1*SIN(F2))^2</f>
        <v>-8.4040225954303036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2CFE4-35FC-497C-96FF-0729ABC90268}">
  <dimension ref="A1:E7"/>
  <sheetViews>
    <sheetView workbookViewId="0">
      <selection activeCell="A8" sqref="A8"/>
    </sheetView>
  </sheetViews>
  <sheetFormatPr defaultRowHeight="14.5" x14ac:dyDescent="0.35"/>
  <cols>
    <col min="2" max="2" width="10.81640625" bestFit="1" customWidth="1"/>
    <col min="3" max="3" width="11.81640625" bestFit="1" customWidth="1"/>
  </cols>
  <sheetData>
    <row r="1" spans="1:5" x14ac:dyDescent="0.35">
      <c r="B1" t="s">
        <v>15</v>
      </c>
      <c r="C1" t="s">
        <v>16</v>
      </c>
    </row>
    <row r="2" spans="1:5" x14ac:dyDescent="0.35">
      <c r="A2" t="s">
        <v>54</v>
      </c>
      <c r="B2">
        <v>370946.25099999999</v>
      </c>
      <c r="C2">
        <v>6378192.1780000003</v>
      </c>
    </row>
    <row r="3" spans="1:5" x14ac:dyDescent="0.35">
      <c r="A3" t="s">
        <v>55</v>
      </c>
      <c r="B3">
        <v>370973.81300000002</v>
      </c>
      <c r="C3">
        <v>6378108.4850000003</v>
      </c>
    </row>
    <row r="5" spans="1:5" x14ac:dyDescent="0.35">
      <c r="A5" t="s">
        <v>56</v>
      </c>
      <c r="B5">
        <f>B2-B3</f>
        <v>-27.562000000034459</v>
      </c>
      <c r="C5">
        <f>C2-C3</f>
        <v>83.692999999970198</v>
      </c>
    </row>
    <row r="7" spans="1:5" x14ac:dyDescent="0.35">
      <c r="A7" t="s">
        <v>48</v>
      </c>
      <c r="B7">
        <f t="shared" ref="B7" si="0">INT(E7)</f>
        <v>341</v>
      </c>
      <c r="C7">
        <f t="shared" ref="C7" si="1">INT(60*(E7-B7))</f>
        <v>46</v>
      </c>
      <c r="D7">
        <f t="shared" ref="D7" si="2">(E7-B7)*3600-C7*60</f>
        <v>19.615654938584157</v>
      </c>
      <c r="E7">
        <f>DEGREES(ATAN2(C5,B5))+360</f>
        <v>341.77211545970516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349A-8833-49AC-B1D8-C965AEDD2F20}">
  <dimension ref="A1:E13"/>
  <sheetViews>
    <sheetView tabSelected="1" workbookViewId="0">
      <selection activeCell="B13" sqref="B13"/>
    </sheetView>
  </sheetViews>
  <sheetFormatPr defaultRowHeight="14.5" x14ac:dyDescent="0.35"/>
  <cols>
    <col min="2" max="2" width="9.453125" bestFit="1" customWidth="1"/>
  </cols>
  <sheetData>
    <row r="1" spans="1:5" x14ac:dyDescent="0.35">
      <c r="A1" t="s">
        <v>91</v>
      </c>
      <c r="B1">
        <v>506.23399999999998</v>
      </c>
    </row>
    <row r="2" spans="1:5" x14ac:dyDescent="0.35">
      <c r="A2" t="s">
        <v>92</v>
      </c>
      <c r="B2">
        <f>9*10^-6</f>
        <v>9.0000000000000002E-6</v>
      </c>
    </row>
    <row r="3" spans="1:5" x14ac:dyDescent="0.35">
      <c r="A3" t="s">
        <v>34</v>
      </c>
      <c r="B3">
        <v>80</v>
      </c>
    </row>
    <row r="4" spans="1:5" x14ac:dyDescent="0.35">
      <c r="A4" t="s">
        <v>93</v>
      </c>
      <c r="B4">
        <v>0.99987499999999996</v>
      </c>
    </row>
    <row r="5" spans="1:5" x14ac:dyDescent="0.35">
      <c r="A5" t="s">
        <v>94</v>
      </c>
      <c r="B5">
        <v>0.99992000000000003</v>
      </c>
    </row>
    <row r="6" spans="1:5" x14ac:dyDescent="0.35">
      <c r="A6" t="s">
        <v>95</v>
      </c>
      <c r="B6">
        <v>49</v>
      </c>
      <c r="C6">
        <v>32</v>
      </c>
      <c r="D6">
        <v>14</v>
      </c>
      <c r="E6">
        <f>B6+C6/60+D6/3600</f>
        <v>49.537222222222219</v>
      </c>
    </row>
    <row r="7" spans="1:5" x14ac:dyDescent="0.35">
      <c r="A7" t="s">
        <v>96</v>
      </c>
      <c r="B7">
        <v>-1</v>
      </c>
      <c r="C7">
        <v>18</v>
      </c>
      <c r="D7">
        <v>37</v>
      </c>
      <c r="E7">
        <f>B7-C7/60-D7/3600</f>
        <v>-1.3102777777777779</v>
      </c>
    </row>
    <row r="8" spans="1:5" x14ac:dyDescent="0.35">
      <c r="A8" t="s">
        <v>48</v>
      </c>
      <c r="B8">
        <f>INT(E8)</f>
        <v>48</v>
      </c>
      <c r="C8">
        <f>INT(60*(E8-B8))</f>
        <v>13</v>
      </c>
      <c r="D8">
        <f>(E8-B8)*3600-C8*60</f>
        <v>36.999999999990223</v>
      </c>
      <c r="E8">
        <f>E6+E7</f>
        <v>48.226944444444442</v>
      </c>
    </row>
    <row r="9" spans="1:5" x14ac:dyDescent="0.35">
      <c r="A9" t="s">
        <v>97</v>
      </c>
      <c r="B9">
        <f>B1*(1-B2)</f>
        <v>506.22944389399998</v>
      </c>
    </row>
    <row r="11" spans="1:5" x14ac:dyDescent="0.35">
      <c r="A11" t="s">
        <v>98</v>
      </c>
      <c r="B11">
        <f>SQRT(B9^2-B3^2)</f>
        <v>499.86823250255509</v>
      </c>
    </row>
    <row r="13" spans="1:5" x14ac:dyDescent="0.35">
      <c r="A13" t="s">
        <v>99</v>
      </c>
      <c r="B13">
        <f>B11*B5*B4</f>
        <v>499.76576451357437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LSP</vt:lpstr>
      <vt:lpstr>HiddenPt</vt:lpstr>
      <vt:lpstr>ShortestDist</vt:lpstr>
      <vt:lpstr>TrigHeights0</vt:lpstr>
      <vt:lpstr>TrigHeights1</vt:lpstr>
      <vt:lpstr>TrigHeights2</vt:lpstr>
      <vt:lpstr>Single line atmos &amp; E Curv</vt:lpstr>
      <vt:lpstr>GridCon</vt:lpstr>
      <vt:lpstr>Q23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Vencel</dc:creator>
  <cp:lastModifiedBy>Jamie Vencel</cp:lastModifiedBy>
  <dcterms:created xsi:type="dcterms:W3CDTF">2026-05-02T10:20:26Z</dcterms:created>
  <dcterms:modified xsi:type="dcterms:W3CDTF">2026-05-04T06:11:57Z</dcterms:modified>
</cp:coreProperties>
</file>